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50" windowWidth="15600" windowHeight="7680"/>
  </bookViews>
  <sheets>
    <sheet name="Intro" sheetId="46" r:id="rId1"/>
    <sheet name="ACT" sheetId="40" r:id="rId2"/>
    <sheet name="NSW" sheetId="51" r:id="rId3"/>
    <sheet name="NT" sheetId="50" r:id="rId4"/>
    <sheet name="Qld" sheetId="48" r:id="rId5"/>
    <sheet name="SA" sheetId="29" r:id="rId6"/>
    <sheet name="TAS" sheetId="49" r:id="rId7"/>
    <sheet name="Vic" sheetId="47" r:id="rId8"/>
    <sheet name="WA" sheetId="52" r:id="rId9"/>
    <sheet name="Validation" sheetId="42" r:id="rId10"/>
    <sheet name="Gap data 1" sheetId="53" r:id="rId11"/>
    <sheet name="Gap data 2" sheetId="43" r:id="rId12"/>
    <sheet name="Adjusted jurisdiction data" sheetId="44" r:id="rId13"/>
    <sheet name="National data" sheetId="45" r:id="rId14"/>
  </sheets>
  <externalReferences>
    <externalReference r:id="rId15"/>
    <externalReference r:id="rId16"/>
  </externalReferences>
  <definedNames>
    <definedName name="Approved">Validation!$F$4</definedName>
  </definedNames>
  <calcPr calcId="125725"/>
</workbook>
</file>

<file path=xl/calcChain.xml><?xml version="1.0" encoding="utf-8"?>
<calcChain xmlns="http://schemas.openxmlformats.org/spreadsheetml/2006/main">
  <c r="H15" i="42"/>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14"/>
  <c r="AS58" l="1"/>
  <c r="AS59"/>
  <c r="AS60"/>
  <c r="AS61"/>
  <c r="AS62"/>
  <c r="AS63"/>
  <c r="AS64"/>
  <c r="AS65"/>
  <c r="AS66"/>
  <c r="AS67"/>
  <c r="AS68"/>
  <c r="AS69"/>
  <c r="AS70"/>
  <c r="AS71"/>
  <c r="AT71"/>
  <c r="AS72"/>
  <c r="AS73"/>
  <c r="AS74"/>
  <c r="AS75"/>
  <c r="AS76"/>
  <c r="AS77"/>
  <c r="AS78"/>
  <c r="AT78"/>
  <c r="AS79"/>
  <c r="AS80"/>
  <c r="AS81"/>
  <c r="AS82"/>
  <c r="AS83"/>
  <c r="AS84"/>
  <c r="AS85"/>
  <c r="AF15"/>
  <c r="AF16"/>
  <c r="AF17"/>
  <c r="AF18"/>
  <c r="AF19"/>
  <c r="AF20"/>
  <c r="AF21"/>
  <c r="AF22"/>
  <c r="AF23"/>
  <c r="AF24"/>
  <c r="AF25"/>
  <c r="AF26"/>
  <c r="AF27"/>
  <c r="AF28"/>
  <c r="AF29"/>
  <c r="AF30"/>
  <c r="AF31"/>
  <c r="AF32"/>
  <c r="AF33"/>
  <c r="AF34"/>
  <c r="AF35"/>
  <c r="AF36"/>
  <c r="AF37"/>
  <c r="AF38"/>
  <c r="AF39"/>
  <c r="AF40"/>
  <c r="AF41"/>
  <c r="AF42"/>
  <c r="AF43"/>
  <c r="AF44"/>
  <c r="AF45"/>
  <c r="AF46"/>
  <c r="AF47"/>
  <c r="AF48"/>
  <c r="AF49"/>
  <c r="AF50"/>
  <c r="AF51"/>
  <c r="AF52"/>
  <c r="AF53"/>
  <c r="AF54"/>
  <c r="AF55"/>
  <c r="AF56"/>
  <c r="AF57"/>
  <c r="AF58"/>
  <c r="AF59"/>
  <c r="AF60"/>
  <c r="AF61"/>
  <c r="AF62"/>
  <c r="AF63"/>
  <c r="AF64"/>
  <c r="AF65"/>
  <c r="AF66"/>
  <c r="AF67"/>
  <c r="AF68"/>
  <c r="AF69"/>
  <c r="AF70"/>
  <c r="AF71"/>
  <c r="AF72"/>
  <c r="AF73"/>
  <c r="AF74"/>
  <c r="AF75"/>
  <c r="AF76"/>
  <c r="AF77"/>
  <c r="AF78"/>
  <c r="AF79"/>
  <c r="AF80"/>
  <c r="AF81"/>
  <c r="AF82"/>
  <c r="AF83"/>
  <c r="AF84"/>
  <c r="AF85"/>
  <c r="AD15"/>
  <c r="AD16"/>
  <c r="AD17"/>
  <c r="AD18"/>
  <c r="AD19"/>
  <c r="AD20"/>
  <c r="AD21"/>
  <c r="AD22"/>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60"/>
  <c r="AD61"/>
  <c r="AD62"/>
  <c r="AD63"/>
  <c r="AD64"/>
  <c r="AD65"/>
  <c r="AD66"/>
  <c r="AD67"/>
  <c r="AD68"/>
  <c r="AD69"/>
  <c r="AD70"/>
  <c r="AD71"/>
  <c r="AD72"/>
  <c r="AD73"/>
  <c r="AD74"/>
  <c r="AD75"/>
  <c r="AD76"/>
  <c r="AD77"/>
  <c r="AD78"/>
  <c r="AD79"/>
  <c r="AD80"/>
  <c r="AD81"/>
  <c r="AD82"/>
  <c r="AD83"/>
  <c r="AD84"/>
  <c r="AD85"/>
  <c r="AB15"/>
  <c r="AB16"/>
  <c r="AB17"/>
  <c r="AB19"/>
  <c r="AB20"/>
  <c r="AB21"/>
  <c r="AB22"/>
  <c r="AB23"/>
  <c r="AB24"/>
  <c r="AB25"/>
  <c r="AB26"/>
  <c r="AB27"/>
  <c r="AB28"/>
  <c r="AB29"/>
  <c r="AB30"/>
  <c r="AB31"/>
  <c r="AB32"/>
  <c r="AB33"/>
  <c r="AB34"/>
  <c r="AB35"/>
  <c r="AB36"/>
  <c r="AB37"/>
  <c r="AB38"/>
  <c r="AB39"/>
  <c r="AB40"/>
  <c r="AB41"/>
  <c r="AB42"/>
  <c r="AB43"/>
  <c r="AB44"/>
  <c r="AB45"/>
  <c r="AB46"/>
  <c r="AB47"/>
  <c r="AB49"/>
  <c r="AB50"/>
  <c r="AB51"/>
  <c r="AB52"/>
  <c r="AB53"/>
  <c r="AB54"/>
  <c r="AB55"/>
  <c r="AB56"/>
  <c r="AB57"/>
  <c r="AB58"/>
  <c r="AB59"/>
  <c r="AB60"/>
  <c r="AB61"/>
  <c r="AB62"/>
  <c r="AB63"/>
  <c r="AB64"/>
  <c r="AB65"/>
  <c r="AB66"/>
  <c r="AB67"/>
  <c r="AB68"/>
  <c r="AB69"/>
  <c r="AB70"/>
  <c r="AB72"/>
  <c r="AB73"/>
  <c r="AB74"/>
  <c r="AB75"/>
  <c r="AB76"/>
  <c r="AB77"/>
  <c r="AB78"/>
  <c r="AB79"/>
  <c r="AB80"/>
  <c r="AB81"/>
  <c r="AB82"/>
  <c r="AB83"/>
  <c r="AB84"/>
  <c r="AB85"/>
  <c r="Z15"/>
  <c r="Z16"/>
  <c r="Z17"/>
  <c r="Z18"/>
  <c r="Z19"/>
  <c r="Z20"/>
  <c r="Z21"/>
  <c r="Z22"/>
  <c r="Z23"/>
  <c r="Z24"/>
  <c r="Z25"/>
  <c r="Z26"/>
  <c r="Z27"/>
  <c r="Z28"/>
  <c r="Z29"/>
  <c r="Z30"/>
  <c r="Z31"/>
  <c r="Z32"/>
  <c r="Z33"/>
  <c r="Z34"/>
  <c r="Z35"/>
  <c r="Z36"/>
  <c r="Z37"/>
  <c r="Z38"/>
  <c r="Z39"/>
  <c r="Z40"/>
  <c r="Z41"/>
  <c r="Z42"/>
  <c r="Z43"/>
  <c r="Z44"/>
  <c r="Z45"/>
  <c r="Z46"/>
  <c r="Z47"/>
  <c r="Z48"/>
  <c r="Z49"/>
  <c r="Z50"/>
  <c r="Z51"/>
  <c r="Z52"/>
  <c r="Z53"/>
  <c r="Z54"/>
  <c r="Z55"/>
  <c r="Z56"/>
  <c r="Z57"/>
  <c r="Z58"/>
  <c r="Z59"/>
  <c r="Z60"/>
  <c r="Z61"/>
  <c r="Z62"/>
  <c r="Z63"/>
  <c r="Z64"/>
  <c r="Z65"/>
  <c r="Z66"/>
  <c r="Z67"/>
  <c r="Z68"/>
  <c r="Z69"/>
  <c r="Z70"/>
  <c r="Z71"/>
  <c r="Z72"/>
  <c r="Z73"/>
  <c r="Z74"/>
  <c r="Z75"/>
  <c r="Z76"/>
  <c r="Z77"/>
  <c r="Z78"/>
  <c r="Z79"/>
  <c r="Z80"/>
  <c r="Z81"/>
  <c r="Z82"/>
  <c r="Z83"/>
  <c r="Z84"/>
  <c r="Z85"/>
  <c r="X15"/>
  <c r="X16"/>
  <c r="X17"/>
  <c r="X18"/>
  <c r="X19"/>
  <c r="X20"/>
  <c r="X21"/>
  <c r="X22"/>
  <c r="X23"/>
  <c r="X24"/>
  <c r="X25"/>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AF14"/>
  <c r="AD14"/>
  <c r="AB14"/>
  <c r="Z14"/>
  <c r="X14"/>
  <c r="V14"/>
  <c r="T14"/>
  <c r="R14"/>
  <c r="P14"/>
  <c r="N14"/>
  <c r="L14"/>
  <c r="J14"/>
  <c r="AZ14"/>
  <c r="AY14"/>
  <c r="AX14"/>
  <c r="AW14"/>
  <c r="AU14"/>
  <c r="AS14"/>
  <c r="AQ14"/>
  <c r="AX15"/>
  <c r="AX16"/>
  <c r="AX19"/>
  <c r="AX22"/>
  <c r="AX23"/>
  <c r="AX25"/>
  <c r="AX26"/>
  <c r="AX27"/>
  <c r="AX28"/>
  <c r="AX29"/>
  <c r="AX30"/>
  <c r="AX33"/>
  <c r="AX34"/>
  <c r="AX35"/>
  <c r="AX36"/>
  <c r="AX38"/>
  <c r="AX39"/>
  <c r="AX40"/>
  <c r="AX41"/>
  <c r="AX42"/>
  <c r="AX44"/>
  <c r="AX45"/>
  <c r="AX46"/>
  <c r="AX49"/>
  <c r="AX50"/>
  <c r="AX51"/>
  <c r="AX52"/>
  <c r="AX56"/>
  <c r="AX57"/>
  <c r="AX58"/>
  <c r="AX59"/>
  <c r="AX61"/>
  <c r="AX63"/>
  <c r="AX64"/>
  <c r="AX65"/>
  <c r="AX66"/>
  <c r="AX69"/>
  <c r="AX72"/>
  <c r="AX73"/>
  <c r="AX74"/>
  <c r="AX75"/>
  <c r="AX76"/>
  <c r="AX78"/>
  <c r="AX81"/>
  <c r="AX84"/>
  <c r="AX85"/>
  <c r="AW15"/>
  <c r="AW16"/>
  <c r="AW17"/>
  <c r="AW18"/>
  <c r="AW19"/>
  <c r="AW20"/>
  <c r="AW21"/>
  <c r="AW22"/>
  <c r="AW23"/>
  <c r="AW24"/>
  <c r="AW25"/>
  <c r="AW26"/>
  <c r="AW27"/>
  <c r="AW28"/>
  <c r="AW29"/>
  <c r="AW30"/>
  <c r="AW31"/>
  <c r="AW32"/>
  <c r="AW33"/>
  <c r="AW34"/>
  <c r="AW35"/>
  <c r="AW36"/>
  <c r="AW37"/>
  <c r="AW38"/>
  <c r="AW39"/>
  <c r="AW40"/>
  <c r="AW41"/>
  <c r="AW42"/>
  <c r="AW43"/>
  <c r="AW44"/>
  <c r="AW45"/>
  <c r="AW46"/>
  <c r="AW47"/>
  <c r="AW48"/>
  <c r="AW49"/>
  <c r="AW50"/>
  <c r="AW51"/>
  <c r="AW52"/>
  <c r="AW53"/>
  <c r="AW54"/>
  <c r="AW55"/>
  <c r="AW56"/>
  <c r="AW57"/>
  <c r="AW58"/>
  <c r="AW59"/>
  <c r="AW60"/>
  <c r="AW61"/>
  <c r="AW62"/>
  <c r="AW63"/>
  <c r="AW64"/>
  <c r="AW65"/>
  <c r="AW66"/>
  <c r="AW67"/>
  <c r="AW68"/>
  <c r="AW69"/>
  <c r="AW70"/>
  <c r="AW71"/>
  <c r="AW72"/>
  <c r="AW73"/>
  <c r="AW74"/>
  <c r="AW75"/>
  <c r="AW76"/>
  <c r="AW77"/>
  <c r="AW78"/>
  <c r="AW79"/>
  <c r="AW80"/>
  <c r="AW81"/>
  <c r="AW82"/>
  <c r="AW83"/>
  <c r="AW84"/>
  <c r="AW85"/>
  <c r="AQ15"/>
  <c r="AQ16"/>
  <c r="AQ17"/>
  <c r="AQ18"/>
  <c r="AQ19"/>
  <c r="AQ20"/>
  <c r="AQ21"/>
  <c r="AQ22"/>
  <c r="AQ23"/>
  <c r="AQ24"/>
  <c r="AQ25"/>
  <c r="AQ26"/>
  <c r="AQ27"/>
  <c r="AQ28"/>
  <c r="AQ29"/>
  <c r="AQ30"/>
  <c r="AQ31"/>
  <c r="AQ32"/>
  <c r="AQ33"/>
  <c r="AQ34"/>
  <c r="AQ35"/>
  <c r="AQ36"/>
  <c r="AQ37"/>
  <c r="AQ38"/>
  <c r="AQ39"/>
  <c r="AQ40"/>
  <c r="AQ41"/>
  <c r="AQ42"/>
  <c r="AQ43"/>
  <c r="AQ44"/>
  <c r="AQ45"/>
  <c r="AQ46"/>
  <c r="AQ47"/>
  <c r="AQ48"/>
  <c r="AQ49"/>
  <c r="AQ50"/>
  <c r="AQ51"/>
  <c r="AQ52"/>
  <c r="AQ53"/>
  <c r="AQ54"/>
  <c r="AQ55"/>
  <c r="AQ56"/>
  <c r="AQ57"/>
  <c r="AQ58"/>
  <c r="AQ59"/>
  <c r="AQ60"/>
  <c r="AQ61"/>
  <c r="AQ62"/>
  <c r="AQ63"/>
  <c r="AQ64"/>
  <c r="AQ65"/>
  <c r="AQ66"/>
  <c r="AQ67"/>
  <c r="AQ68"/>
  <c r="AQ69"/>
  <c r="AQ70"/>
  <c r="AQ71"/>
  <c r="AQ72"/>
  <c r="AQ73"/>
  <c r="AQ74"/>
  <c r="AQ75"/>
  <c r="AQ76"/>
  <c r="AQ77"/>
  <c r="AQ78"/>
  <c r="AQ79"/>
  <c r="AQ80"/>
  <c r="AQ81"/>
  <c r="AQ82"/>
  <c r="AQ83"/>
  <c r="AQ84"/>
  <c r="AQ85"/>
  <c r="AS16"/>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15"/>
  <c r="F16"/>
  <c r="F17"/>
  <c r="F18"/>
  <c r="F19"/>
  <c r="F20"/>
  <c r="F21"/>
  <c r="F22"/>
  <c r="F23"/>
  <c r="F24"/>
  <c r="F25"/>
  <c r="F26"/>
  <c r="F27"/>
  <c r="F28"/>
  <c r="F14"/>
  <c r="K51" i="49" l="1"/>
  <c r="L51"/>
  <c r="K50"/>
  <c r="K38"/>
  <c r="K39"/>
  <c r="K40"/>
  <c r="K41"/>
  <c r="K42"/>
  <c r="K43"/>
  <c r="K44"/>
  <c r="K45"/>
  <c r="K46"/>
  <c r="K47"/>
  <c r="K48"/>
  <c r="K49"/>
  <c r="L50"/>
  <c r="F299" i="44"/>
  <c r="E299"/>
  <c r="F307"/>
  <c r="E307"/>
  <c r="F305"/>
  <c r="E305" s="1"/>
  <c r="F304"/>
  <c r="E304"/>
  <c r="F303"/>
  <c r="E303" s="1"/>
  <c r="F302"/>
  <c r="E302"/>
  <c r="F301"/>
  <c r="E301" s="1"/>
  <c r="F297"/>
  <c r="E297"/>
  <c r="F296"/>
  <c r="E296"/>
  <c r="F295"/>
  <c r="E295"/>
  <c r="F294"/>
  <c r="E294"/>
  <c r="F253"/>
  <c r="E253" s="1"/>
  <c r="F254"/>
  <c r="E254" s="1"/>
  <c r="F255"/>
  <c r="E255" s="1"/>
  <c r="F256"/>
  <c r="E256" s="1"/>
  <c r="F257"/>
  <c r="E257" s="1"/>
  <c r="F258"/>
  <c r="E258" s="1"/>
  <c r="F259"/>
  <c r="E259" s="1"/>
  <c r="F260"/>
  <c r="E260" s="1"/>
  <c r="F261"/>
  <c r="E261" s="1"/>
  <c r="F262"/>
  <c r="E262" s="1"/>
  <c r="F263"/>
  <c r="E263" s="1"/>
  <c r="F264"/>
  <c r="E264" s="1"/>
  <c r="F265"/>
  <c r="E265" s="1"/>
  <c r="F266"/>
  <c r="E266" s="1"/>
  <c r="F267"/>
  <c r="E267" s="1"/>
  <c r="F268"/>
  <c r="E268" s="1"/>
  <c r="F269"/>
  <c r="E269" s="1"/>
  <c r="F270"/>
  <c r="E270" s="1"/>
  <c r="F271"/>
  <c r="E271" s="1"/>
  <c r="F272"/>
  <c r="E272" s="1"/>
  <c r="F273"/>
  <c r="E273" s="1"/>
  <c r="F274"/>
  <c r="E274" s="1"/>
  <c r="F275"/>
  <c r="E275" s="1"/>
  <c r="F276"/>
  <c r="E276" s="1"/>
  <c r="F277"/>
  <c r="E277" s="1"/>
  <c r="F278"/>
  <c r="E278" s="1"/>
  <c r="F279"/>
  <c r="E279" s="1"/>
  <c r="F280"/>
  <c r="E280" s="1"/>
  <c r="F281"/>
  <c r="E281" s="1"/>
  <c r="F282"/>
  <c r="E282" s="1"/>
  <c r="F283"/>
  <c r="E283" s="1"/>
  <c r="F284"/>
  <c r="E284" s="1"/>
  <c r="F285"/>
  <c r="E285" s="1"/>
  <c r="F286"/>
  <c r="E286" s="1"/>
  <c r="F287"/>
  <c r="E287" s="1"/>
  <c r="F288"/>
  <c r="E288" s="1"/>
  <c r="F289"/>
  <c r="E289" s="1"/>
  <c r="F290"/>
  <c r="E290" s="1"/>
  <c r="F291"/>
  <c r="E291" s="1"/>
  <c r="F292"/>
  <c r="E292" s="1"/>
  <c r="F252"/>
  <c r="E252"/>
  <c r="F241"/>
  <c r="E241" s="1"/>
  <c r="F242"/>
  <c r="E242" s="1"/>
  <c r="F243"/>
  <c r="E243" s="1"/>
  <c r="F244"/>
  <c r="E244" s="1"/>
  <c r="F245"/>
  <c r="E245" s="1"/>
  <c r="F246"/>
  <c r="E246" s="1"/>
  <c r="F247"/>
  <c r="E247" s="1"/>
  <c r="F248"/>
  <c r="E248" s="1"/>
  <c r="F249"/>
  <c r="E249" s="1"/>
  <c r="F250"/>
  <c r="E250" s="1"/>
  <c r="F237"/>
  <c r="E237" s="1"/>
  <c r="F238"/>
  <c r="E238" s="1"/>
  <c r="F239"/>
  <c r="E239" s="1"/>
  <c r="F240"/>
  <c r="E240" s="1"/>
  <c r="F236"/>
  <c r="E236" s="1"/>
  <c r="K52" i="29"/>
  <c r="L52"/>
  <c r="K50" i="48"/>
  <c r="L50" l="1"/>
  <c r="K15" i="47"/>
  <c r="K79" i="48"/>
  <c r="L79"/>
  <c r="L77"/>
  <c r="F457" i="44" l="1"/>
  <c r="E457" s="1"/>
  <c r="F455"/>
  <c r="E455"/>
  <c r="F454"/>
  <c r="E454" s="1"/>
  <c r="F453"/>
  <c r="E453" s="1"/>
  <c r="F452"/>
  <c r="E452" s="1"/>
  <c r="F451"/>
  <c r="E451" s="1"/>
  <c r="F450"/>
  <c r="E450" s="1"/>
  <c r="F431"/>
  <c r="E431" s="1"/>
  <c r="F432"/>
  <c r="E432" s="1"/>
  <c r="F433"/>
  <c r="E433" s="1"/>
  <c r="F434"/>
  <c r="E434" s="1"/>
  <c r="F435"/>
  <c r="E435" s="1"/>
  <c r="F436"/>
  <c r="E436" s="1"/>
  <c r="F437"/>
  <c r="E437" s="1"/>
  <c r="F438"/>
  <c r="E438" s="1"/>
  <c r="F439"/>
  <c r="E439" s="1"/>
  <c r="F440"/>
  <c r="E440" s="1"/>
  <c r="F441"/>
  <c r="E441" s="1"/>
  <c r="F442"/>
  <c r="E442" s="1"/>
  <c r="F444"/>
  <c r="E444" s="1"/>
  <c r="F445"/>
  <c r="E445" s="1"/>
  <c r="F446"/>
  <c r="E446" s="1"/>
  <c r="F447"/>
  <c r="E447" s="1"/>
  <c r="F430"/>
  <c r="E430" s="1"/>
  <c r="F422"/>
  <c r="E422" s="1"/>
  <c r="F423"/>
  <c r="E423" s="1"/>
  <c r="F424"/>
  <c r="E424" s="1"/>
  <c r="F425"/>
  <c r="E425" s="1"/>
  <c r="F426"/>
  <c r="E426" s="1"/>
  <c r="F427"/>
  <c r="E427" s="1"/>
  <c r="F405"/>
  <c r="E405" s="1"/>
  <c r="F406"/>
  <c r="E406" s="1"/>
  <c r="F407"/>
  <c r="E407" s="1"/>
  <c r="F408"/>
  <c r="E408" s="1"/>
  <c r="F409"/>
  <c r="E409" s="1"/>
  <c r="F410"/>
  <c r="E410" s="1"/>
  <c r="F411"/>
  <c r="E411" s="1"/>
  <c r="F412"/>
  <c r="E412" s="1"/>
  <c r="F413"/>
  <c r="E413" s="1"/>
  <c r="F414"/>
  <c r="E414" s="1"/>
  <c r="F415"/>
  <c r="E415" s="1"/>
  <c r="F416"/>
  <c r="E416" s="1"/>
  <c r="F417"/>
  <c r="E417" s="1"/>
  <c r="F418"/>
  <c r="E418" s="1"/>
  <c r="F419"/>
  <c r="E419" s="1"/>
  <c r="F420"/>
  <c r="E420" s="1"/>
  <c r="F393"/>
  <c r="E393" s="1"/>
  <c r="F394"/>
  <c r="E394" s="1"/>
  <c r="F395"/>
  <c r="E395" s="1"/>
  <c r="F396"/>
  <c r="E396" s="1"/>
  <c r="F397"/>
  <c r="E397" s="1"/>
  <c r="F398"/>
  <c r="E398" s="1"/>
  <c r="F399"/>
  <c r="E399" s="1"/>
  <c r="F400"/>
  <c r="E400" s="1"/>
  <c r="F401"/>
  <c r="E401" s="1"/>
  <c r="F402"/>
  <c r="E402" s="1"/>
  <c r="F403"/>
  <c r="E403" s="1"/>
  <c r="F404"/>
  <c r="E404" s="1"/>
  <c r="F387"/>
  <c r="E387" s="1"/>
  <c r="F388"/>
  <c r="E388" s="1"/>
  <c r="F389"/>
  <c r="E389" s="1"/>
  <c r="F391"/>
  <c r="E391" s="1"/>
  <c r="F392"/>
  <c r="E392" s="1"/>
  <c r="F386"/>
  <c r="E386" s="1"/>
  <c r="F382"/>
  <c r="E382"/>
  <c r="F380"/>
  <c r="E380" s="1"/>
  <c r="F379"/>
  <c r="E379" s="1"/>
  <c r="F378"/>
  <c r="E378" s="1"/>
  <c r="F377"/>
  <c r="E377" s="1"/>
  <c r="F376"/>
  <c r="E376" s="1"/>
  <c r="F375"/>
  <c r="E375"/>
  <c r="F374"/>
  <c r="E374" s="1"/>
  <c r="F372"/>
  <c r="E372"/>
  <c r="F371"/>
  <c r="E371" s="1"/>
  <c r="F370"/>
  <c r="E370" s="1"/>
  <c r="F369"/>
  <c r="E369" s="1"/>
  <c r="F368"/>
  <c r="E368"/>
  <c r="F367"/>
  <c r="E367" s="1"/>
  <c r="F366"/>
  <c r="E366"/>
  <c r="F365"/>
  <c r="E365" s="1"/>
  <c r="F364"/>
  <c r="E364"/>
  <c r="F363"/>
  <c r="E363" s="1"/>
  <c r="F362"/>
  <c r="E362" s="1"/>
  <c r="F361"/>
  <c r="E361" s="1"/>
  <c r="F360"/>
  <c r="E360"/>
  <c r="F359"/>
  <c r="E359" s="1"/>
  <c r="F358"/>
  <c r="E358"/>
  <c r="F357"/>
  <c r="E357" s="1"/>
  <c r="F356"/>
  <c r="E356"/>
  <c r="F355"/>
  <c r="E355" s="1"/>
  <c r="F342"/>
  <c r="E342" s="1"/>
  <c r="F343"/>
  <c r="E343" s="1"/>
  <c r="F344"/>
  <c r="E344" s="1"/>
  <c r="F345"/>
  <c r="E345" s="1"/>
  <c r="F346"/>
  <c r="E346" s="1"/>
  <c r="F347"/>
  <c r="E347" s="1"/>
  <c r="F348"/>
  <c r="E348" s="1"/>
  <c r="F349"/>
  <c r="E349" s="1"/>
  <c r="F350"/>
  <c r="E350" s="1"/>
  <c r="F351"/>
  <c r="E351" s="1"/>
  <c r="F352"/>
  <c r="E352" s="1"/>
  <c r="F330"/>
  <c r="E330" s="1"/>
  <c r="F331"/>
  <c r="E331" s="1"/>
  <c r="F332"/>
  <c r="E332" s="1"/>
  <c r="F333"/>
  <c r="E333" s="1"/>
  <c r="F334"/>
  <c r="E334" s="1"/>
  <c r="F335"/>
  <c r="E335" s="1"/>
  <c r="F336"/>
  <c r="E336" s="1"/>
  <c r="F337"/>
  <c r="E337" s="1"/>
  <c r="F338"/>
  <c r="E338" s="1"/>
  <c r="F339"/>
  <c r="E339" s="1"/>
  <c r="F340"/>
  <c r="E340" s="1"/>
  <c r="F341"/>
  <c r="E341" s="1"/>
  <c r="F316"/>
  <c r="E316" s="1"/>
  <c r="F317"/>
  <c r="E317" s="1"/>
  <c r="F318"/>
  <c r="E318" s="1"/>
  <c r="F319"/>
  <c r="E319" s="1"/>
  <c r="F320"/>
  <c r="E320" s="1"/>
  <c r="F321"/>
  <c r="E321" s="1"/>
  <c r="F322"/>
  <c r="E322" s="1"/>
  <c r="F323"/>
  <c r="E323" s="1"/>
  <c r="F324"/>
  <c r="E324" s="1"/>
  <c r="F325"/>
  <c r="E325" s="1"/>
  <c r="F326"/>
  <c r="E326" s="1"/>
  <c r="F327"/>
  <c r="E327" s="1"/>
  <c r="F328"/>
  <c r="E328" s="1"/>
  <c r="F329"/>
  <c r="E329" s="1"/>
  <c r="F312"/>
  <c r="E312" s="1"/>
  <c r="F313"/>
  <c r="E313" s="1"/>
  <c r="F314"/>
  <c r="E314" s="1"/>
  <c r="F315"/>
  <c r="E315" s="1"/>
  <c r="F311"/>
  <c r="E311" s="1"/>
  <c r="F232"/>
  <c r="E232"/>
  <c r="F230"/>
  <c r="E230" s="1"/>
  <c r="F229"/>
  <c r="E229"/>
  <c r="F228"/>
  <c r="E228" s="1"/>
  <c r="F227"/>
  <c r="E227"/>
  <c r="F226"/>
  <c r="E226" s="1"/>
  <c r="F225"/>
  <c r="E225"/>
  <c r="F222"/>
  <c r="E222"/>
  <c r="F221"/>
  <c r="E221" s="1"/>
  <c r="F220"/>
  <c r="E220"/>
  <c r="F219"/>
  <c r="E219" s="1"/>
  <c r="F217"/>
  <c r="E217" s="1"/>
  <c r="F216"/>
  <c r="E216"/>
  <c r="F215"/>
  <c r="E215" s="1"/>
  <c r="F214"/>
  <c r="E214"/>
  <c r="F213"/>
  <c r="E213" s="1"/>
  <c r="F212"/>
  <c r="E212"/>
  <c r="F211"/>
  <c r="E211" s="1"/>
  <c r="F210"/>
  <c r="E210"/>
  <c r="F209"/>
  <c r="E209" s="1"/>
  <c r="F208"/>
  <c r="E208"/>
  <c r="F207"/>
  <c r="E207" s="1"/>
  <c r="F206"/>
  <c r="E206"/>
  <c r="F205"/>
  <c r="E205" s="1"/>
  <c r="F179"/>
  <c r="E179" s="1"/>
  <c r="F180"/>
  <c r="E180" s="1"/>
  <c r="F181"/>
  <c r="E181" s="1"/>
  <c r="F182"/>
  <c r="E182" s="1"/>
  <c r="F183"/>
  <c r="E183" s="1"/>
  <c r="F184"/>
  <c r="E184" s="1"/>
  <c r="F185"/>
  <c r="E185" s="1"/>
  <c r="F186"/>
  <c r="E186" s="1"/>
  <c r="F187"/>
  <c r="E187" s="1"/>
  <c r="F188"/>
  <c r="E188" s="1"/>
  <c r="F189"/>
  <c r="E189" s="1"/>
  <c r="F190"/>
  <c r="E190" s="1"/>
  <c r="F191"/>
  <c r="E191" s="1"/>
  <c r="F192"/>
  <c r="E192" s="1"/>
  <c r="F193"/>
  <c r="E193" s="1"/>
  <c r="F194"/>
  <c r="E194" s="1"/>
  <c r="F195"/>
  <c r="E195" s="1"/>
  <c r="F196"/>
  <c r="E196" s="1"/>
  <c r="F197"/>
  <c r="E197" s="1"/>
  <c r="F198"/>
  <c r="E198" s="1"/>
  <c r="F199"/>
  <c r="E199" s="1"/>
  <c r="F200"/>
  <c r="E200" s="1"/>
  <c r="F201"/>
  <c r="E201" s="1"/>
  <c r="F202"/>
  <c r="E202" s="1"/>
  <c r="F167"/>
  <c r="E167" s="1"/>
  <c r="F168"/>
  <c r="E168" s="1"/>
  <c r="F169"/>
  <c r="E169" s="1"/>
  <c r="F170"/>
  <c r="E170" s="1"/>
  <c r="F171"/>
  <c r="E171" s="1"/>
  <c r="F172"/>
  <c r="E172" s="1"/>
  <c r="F173"/>
  <c r="E173" s="1"/>
  <c r="F174"/>
  <c r="E174" s="1"/>
  <c r="F175"/>
  <c r="E175" s="1"/>
  <c r="F176"/>
  <c r="E176" s="1"/>
  <c r="F177"/>
  <c r="E177" s="1"/>
  <c r="F178"/>
  <c r="E178" s="1"/>
  <c r="F165"/>
  <c r="E165" s="1"/>
  <c r="F166"/>
  <c r="E166" s="1"/>
  <c r="F162"/>
  <c r="E162" s="1"/>
  <c r="F163"/>
  <c r="E163" s="1"/>
  <c r="F164"/>
  <c r="E164" s="1"/>
  <c r="F161"/>
  <c r="E161" s="1"/>
  <c r="E142" l="1"/>
  <c r="F142"/>
  <c r="M70" i="52" l="1"/>
  <c r="AJ76" i="42" s="1"/>
  <c r="L70" i="52"/>
  <c r="AH76" i="42" s="1"/>
  <c r="F606" i="44" l="1"/>
  <c r="K593" s="1"/>
  <c r="E606"/>
  <c r="J593" s="1"/>
  <c r="F598"/>
  <c r="E598"/>
  <c r="E456"/>
  <c r="J443" s="1"/>
  <c r="J440"/>
  <c r="J442"/>
  <c r="F456"/>
  <c r="K443" s="1"/>
  <c r="J436"/>
  <c r="J437"/>
  <c r="E448"/>
  <c r="F373"/>
  <c r="F223"/>
  <c r="E223"/>
  <c r="F148"/>
  <c r="F73"/>
  <c r="E73"/>
  <c r="F448"/>
  <c r="F523"/>
  <c r="E523"/>
  <c r="E373"/>
  <c r="E148"/>
  <c r="J438" l="1"/>
  <c r="I31" i="43"/>
  <c r="H31"/>
  <c r="G31"/>
  <c r="F31"/>
  <c r="E31"/>
  <c r="D31"/>
  <c r="C31"/>
  <c r="B31"/>
  <c r="E53"/>
  <c r="F52"/>
  <c r="F56" s="1"/>
  <c r="F57" s="1"/>
  <c r="F51"/>
  <c r="F50"/>
  <c r="F49"/>
  <c r="F48"/>
  <c r="F47"/>
  <c r="F53" l="1"/>
  <c r="F54"/>
  <c r="F55" s="1"/>
  <c r="E38" l="1"/>
  <c r="B27"/>
  <c r="B29" s="1"/>
  <c r="J4" i="53" l="1"/>
  <c r="L4"/>
  <c r="N4"/>
  <c r="P4"/>
  <c r="R4"/>
  <c r="T4"/>
  <c r="V4"/>
  <c r="P2"/>
  <c r="H2"/>
  <c r="H4"/>
  <c r="U4"/>
  <c r="I4"/>
  <c r="K4"/>
  <c r="M4"/>
  <c r="O4"/>
  <c r="Q4"/>
  <c r="S4"/>
  <c r="G4"/>
  <c r="BG15" i="42"/>
  <c r="BG16"/>
  <c r="BG17"/>
  <c r="BG18"/>
  <c r="BG19"/>
  <c r="BG20"/>
  <c r="BG21"/>
  <c r="BG22"/>
  <c r="BG23"/>
  <c r="BG24"/>
  <c r="BG25"/>
  <c r="BG26"/>
  <c r="BG27"/>
  <c r="BG28"/>
  <c r="BG29"/>
  <c r="BG30"/>
  <c r="BG31"/>
  <c r="BG32"/>
  <c r="BG33"/>
  <c r="BG34"/>
  <c r="BG35"/>
  <c r="BG36"/>
  <c r="BG37"/>
  <c r="BG38"/>
  <c r="BG39"/>
  <c r="BG40"/>
  <c r="BG41"/>
  <c r="BG42"/>
  <c r="BG43"/>
  <c r="BG44"/>
  <c r="BG45"/>
  <c r="BG46"/>
  <c r="BG47"/>
  <c r="BG48"/>
  <c r="BG49"/>
  <c r="BG50"/>
  <c r="BG51"/>
  <c r="BG52"/>
  <c r="BG53"/>
  <c r="BG54"/>
  <c r="BG55"/>
  <c r="BG56"/>
  <c r="BG57"/>
  <c r="BG58"/>
  <c r="BG59"/>
  <c r="BG60"/>
  <c r="BG61"/>
  <c r="BG62"/>
  <c r="BG63"/>
  <c r="BG64"/>
  <c r="BG65"/>
  <c r="BG66"/>
  <c r="BG67"/>
  <c r="BG68"/>
  <c r="BG69"/>
  <c r="BG70"/>
  <c r="BG71"/>
  <c r="BG72"/>
  <c r="BG73"/>
  <c r="BG74"/>
  <c r="BG75"/>
  <c r="BG76"/>
  <c r="BG77"/>
  <c r="BG78"/>
  <c r="BG79"/>
  <c r="BG80"/>
  <c r="BG81"/>
  <c r="BG82"/>
  <c r="BG83"/>
  <c r="BG84"/>
  <c r="BG85"/>
  <c r="BG14"/>
  <c r="E43" i="49" l="1"/>
  <c r="E67"/>
  <c r="E12"/>
  <c r="K14" i="47" l="1"/>
  <c r="L14"/>
  <c r="L11"/>
  <c r="K11"/>
  <c r="K80" i="53" l="1"/>
  <c r="K79"/>
  <c r="K78"/>
  <c r="K77"/>
  <c r="K76"/>
  <c r="K75"/>
  <c r="K74"/>
  <c r="K73"/>
  <c r="K72"/>
  <c r="K71"/>
  <c r="K70"/>
  <c r="K69"/>
  <c r="K68"/>
  <c r="K67"/>
  <c r="K66"/>
  <c r="K65"/>
  <c r="K64"/>
  <c r="K63"/>
  <c r="K62"/>
  <c r="K61"/>
  <c r="K60"/>
  <c r="K59"/>
  <c r="K58"/>
  <c r="K57"/>
  <c r="K56"/>
  <c r="K55"/>
  <c r="K54"/>
  <c r="K53"/>
  <c r="O52"/>
  <c r="K52"/>
  <c r="O51"/>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M47" i="52" l="1"/>
  <c r="AJ53" i="42" s="1"/>
  <c r="L47" i="52"/>
  <c r="AH53" i="42" s="1"/>
  <c r="M79" i="52"/>
  <c r="AJ85" i="42" s="1"/>
  <c r="L79" i="52"/>
  <c r="AH85" i="42" s="1"/>
  <c r="L73" i="52"/>
  <c r="AH79" i="42" s="1"/>
  <c r="M73" i="52"/>
  <c r="AJ79" i="42" s="1"/>
  <c r="M54" i="52"/>
  <c r="AJ60" i="42" s="1"/>
  <c r="L54" i="52"/>
  <c r="AH60" i="42" s="1"/>
  <c r="M50" i="52"/>
  <c r="AJ56" i="42" s="1"/>
  <c r="L50" i="52"/>
  <c r="AH56" i="42" s="1"/>
  <c r="M48" i="52"/>
  <c r="AJ54" i="42" s="1"/>
  <c r="L48" i="52"/>
  <c r="AH54" i="42" s="1"/>
  <c r="M44" i="52"/>
  <c r="AJ50" i="42" s="1"/>
  <c r="L44" i="52"/>
  <c r="AH50" i="42" s="1"/>
  <c r="M42" i="52"/>
  <c r="AJ48" i="42" s="1"/>
  <c r="L42" i="52"/>
  <c r="AH48" i="42" s="1"/>
  <c r="M41" i="52"/>
  <c r="AJ47" i="42" s="1"/>
  <c r="L41" i="52"/>
  <c r="AH47" i="42" s="1"/>
  <c r="L39" i="52"/>
  <c r="AH45" i="42" s="1"/>
  <c r="M53" i="52"/>
  <c r="AJ59" i="42" s="1"/>
  <c r="L53" i="52"/>
  <c r="AH59" i="42" s="1"/>
  <c r="M52" i="52"/>
  <c r="AJ58" i="42" s="1"/>
  <c r="L52" i="52"/>
  <c r="AH58" i="42" s="1"/>
  <c r="M51" i="52"/>
  <c r="AJ57" i="42" s="1"/>
  <c r="L51" i="52"/>
  <c r="AH57" i="42" s="1"/>
  <c r="M49" i="52"/>
  <c r="AJ55" i="42" s="1"/>
  <c r="L49" i="52"/>
  <c r="AH55" i="42" s="1"/>
  <c r="M46" i="52"/>
  <c r="AJ52" i="42" s="1"/>
  <c r="L46" i="52"/>
  <c r="AH52" i="42" s="1"/>
  <c r="M45" i="52"/>
  <c r="AJ51" i="42" s="1"/>
  <c r="L45" i="52"/>
  <c r="AH51" i="42" s="1"/>
  <c r="M43" i="52"/>
  <c r="AJ49" i="42" s="1"/>
  <c r="L43" i="52"/>
  <c r="AH49" i="42" s="1"/>
  <c r="M40" i="52"/>
  <c r="AJ46" i="42" s="1"/>
  <c r="L40" i="52"/>
  <c r="AH46" i="42" s="1"/>
  <c r="L37" i="52"/>
  <c r="AH43" i="42" s="1"/>
  <c r="M39" i="52"/>
  <c r="AJ45" i="42" s="1"/>
  <c r="M38" i="52"/>
  <c r="AJ44" i="42" s="1"/>
  <c r="L38" i="52"/>
  <c r="AH44" i="42" s="1"/>
  <c r="L24" i="52"/>
  <c r="AH30" i="42" s="1"/>
  <c r="M25" i="52"/>
  <c r="AJ31" i="42" s="1"/>
  <c r="L25" i="52"/>
  <c r="AH31" i="42" s="1"/>
  <c r="M24" i="52"/>
  <c r="AJ30" i="42" s="1"/>
  <c r="M18" i="52"/>
  <c r="AJ24" i="42" s="1"/>
  <c r="L18" i="52"/>
  <c r="AH24" i="42" s="1"/>
  <c r="M17" i="52"/>
  <c r="AJ23" i="42" s="1"/>
  <c r="L17" i="52"/>
  <c r="AH23" i="42" s="1"/>
  <c r="M76" i="52"/>
  <c r="AJ82" i="42" s="1"/>
  <c r="M77" i="52"/>
  <c r="AJ83" i="42" s="1"/>
  <c r="M78" i="52"/>
  <c r="AJ84" i="42" s="1"/>
  <c r="L78" i="52"/>
  <c r="AH84" i="42" s="1"/>
  <c r="L77" i="52"/>
  <c r="AH83" i="42" s="1"/>
  <c r="L76" i="52"/>
  <c r="AH82" i="42" s="1"/>
  <c r="M75" i="52"/>
  <c r="AJ81" i="42" s="1"/>
  <c r="L75" i="52"/>
  <c r="AH81" i="42" s="1"/>
  <c r="M74" i="52"/>
  <c r="AJ80" i="42" s="1"/>
  <c r="L74" i="52"/>
  <c r="AH80" i="42" s="1"/>
  <c r="M71" i="52"/>
  <c r="AJ77" i="42" s="1"/>
  <c r="M72" i="52"/>
  <c r="AJ78" i="42" s="1"/>
  <c r="L72" i="52"/>
  <c r="AH78" i="42" s="1"/>
  <c r="L71" i="52"/>
  <c r="AH77" i="42" s="1"/>
  <c r="M69" i="52"/>
  <c r="AJ75" i="42" s="1"/>
  <c r="M68" i="52"/>
  <c r="AJ74" i="42" s="1"/>
  <c r="M67" i="52"/>
  <c r="AJ73" i="42" s="1"/>
  <c r="M66" i="52"/>
  <c r="AJ72" i="42" s="1"/>
  <c r="M65" i="52"/>
  <c r="AJ71" i="42" s="1"/>
  <c r="M64" i="52"/>
  <c r="AJ70" i="42" s="1"/>
  <c r="M63" i="52"/>
  <c r="AJ69" i="42" s="1"/>
  <c r="M62" i="52"/>
  <c r="AJ68" i="42" s="1"/>
  <c r="M61" i="52"/>
  <c r="AJ67" i="42" s="1"/>
  <c r="M60" i="52"/>
  <c r="AJ66" i="42" s="1"/>
  <c r="M59" i="52"/>
  <c r="AJ65" i="42" s="1"/>
  <c r="M58" i="52"/>
  <c r="AJ64" i="42" s="1"/>
  <c r="M57" i="52"/>
  <c r="AJ63" i="42" s="1"/>
  <c r="M56" i="52"/>
  <c r="AJ62" i="42" s="1"/>
  <c r="M55" i="52"/>
  <c r="AJ61" i="42" s="1"/>
  <c r="L56" i="52"/>
  <c r="AH62" i="42" s="1"/>
  <c r="L57" i="52"/>
  <c r="AH63" i="42" s="1"/>
  <c r="L58" i="52"/>
  <c r="AH64" i="42" s="1"/>
  <c r="L59" i="52"/>
  <c r="AH65" i="42" s="1"/>
  <c r="L60" i="52"/>
  <c r="AH66" i="42" s="1"/>
  <c r="L61" i="52"/>
  <c r="AH67" i="42" s="1"/>
  <c r="L62" i="52"/>
  <c r="AH68" i="42" s="1"/>
  <c r="L63" i="52"/>
  <c r="AH69" i="42" s="1"/>
  <c r="L64" i="52"/>
  <c r="AH70" i="42" s="1"/>
  <c r="L65" i="52"/>
  <c r="AH71" i="42" s="1"/>
  <c r="L66" i="52"/>
  <c r="AH72" i="42" s="1"/>
  <c r="L67" i="52"/>
  <c r="AH73" i="42" s="1"/>
  <c r="L68" i="52"/>
  <c r="AH74" i="42" s="1"/>
  <c r="L69" i="52"/>
  <c r="AH75" i="42" s="1"/>
  <c r="L55" i="52"/>
  <c r="AH61" i="42" s="1"/>
  <c r="M26" i="52"/>
  <c r="AJ32" i="42" s="1"/>
  <c r="M27" i="52"/>
  <c r="AJ33" i="42" s="1"/>
  <c r="M28" i="52"/>
  <c r="AJ34" i="42" s="1"/>
  <c r="M29" i="52"/>
  <c r="AJ35" i="42" s="1"/>
  <c r="M30" i="52"/>
  <c r="AJ36" i="42" s="1"/>
  <c r="M31" i="52"/>
  <c r="AJ37" i="42" s="1"/>
  <c r="M32" i="52"/>
  <c r="AJ38" i="42" s="1"/>
  <c r="M33" i="52"/>
  <c r="AJ39" i="42" s="1"/>
  <c r="M34" i="52"/>
  <c r="AJ40" i="42" s="1"/>
  <c r="M35" i="52"/>
  <c r="AJ41" i="42" s="1"/>
  <c r="M36" i="52"/>
  <c r="AJ42" i="42" s="1"/>
  <c r="M37" i="52"/>
  <c r="AJ43" i="42" s="1"/>
  <c r="L27" i="52"/>
  <c r="AH33" i="42" s="1"/>
  <c r="L28" i="52"/>
  <c r="AH34" i="42" s="1"/>
  <c r="L29" i="52"/>
  <c r="AH35" i="42" s="1"/>
  <c r="L30" i="52"/>
  <c r="AH36" i="42" s="1"/>
  <c r="L31" i="52"/>
  <c r="AH37" i="42" s="1"/>
  <c r="L32" i="52"/>
  <c r="AH38" i="42" s="1"/>
  <c r="L33" i="52"/>
  <c r="AH39" i="42" s="1"/>
  <c r="L34" i="52"/>
  <c r="AH40" i="42" s="1"/>
  <c r="L35" i="52"/>
  <c r="AH41" i="42" s="1"/>
  <c r="L36" i="52"/>
  <c r="AH42" i="42" s="1"/>
  <c r="L26" i="52"/>
  <c r="AH32" i="42" s="1"/>
  <c r="M19" i="52"/>
  <c r="AJ25" i="42" s="1"/>
  <c r="M20" i="52"/>
  <c r="AJ26" i="42" s="1"/>
  <c r="M21" i="52"/>
  <c r="AJ27" i="42" s="1"/>
  <c r="M22" i="52"/>
  <c r="AJ28" i="42" s="1"/>
  <c r="M23" i="52"/>
  <c r="AJ29" i="42" s="1"/>
  <c r="L20" i="52"/>
  <c r="AH26" i="42" s="1"/>
  <c r="L21" i="52"/>
  <c r="AH27" i="42" s="1"/>
  <c r="L22" i="52"/>
  <c r="AH28" i="42" s="1"/>
  <c r="L23" i="52"/>
  <c r="AH29" i="42" s="1"/>
  <c r="L19" i="52"/>
  <c r="AH25" i="42" s="1"/>
  <c r="M8" i="52"/>
  <c r="AJ14" i="42" s="1"/>
  <c r="M9" i="52"/>
  <c r="AJ15" i="42" s="1"/>
  <c r="M10" i="52"/>
  <c r="AJ16" i="42" s="1"/>
  <c r="M11" i="52"/>
  <c r="AJ17" i="42" s="1"/>
  <c r="M12" i="52"/>
  <c r="AJ18" i="42" s="1"/>
  <c r="M13" i="52"/>
  <c r="AJ19" i="42" s="1"/>
  <c r="M14" i="52"/>
  <c r="AJ20" i="42" s="1"/>
  <c r="M15" i="52"/>
  <c r="AJ21" i="42" s="1"/>
  <c r="M16" i="52"/>
  <c r="AJ22" i="42" s="1"/>
  <c r="L9" i="52"/>
  <c r="AH15" i="42" s="1"/>
  <c r="L10" i="52"/>
  <c r="AH16" i="42" s="1"/>
  <c r="L11" i="52"/>
  <c r="AH17" i="42" s="1"/>
  <c r="L12" i="52"/>
  <c r="AH18" i="42" s="1"/>
  <c r="L13" i="52"/>
  <c r="AH19" i="42" s="1"/>
  <c r="L14" i="52"/>
  <c r="AH20" i="42" s="1"/>
  <c r="L15" i="52"/>
  <c r="AH21" i="42" s="1"/>
  <c r="L16" i="52"/>
  <c r="AH22" i="42" s="1"/>
  <c r="L8" i="52"/>
  <c r="AH14" i="42" s="1"/>
  <c r="L44" i="47"/>
  <c r="K44"/>
  <c r="L79"/>
  <c r="K79"/>
  <c r="K77"/>
  <c r="L77"/>
  <c r="K76"/>
  <c r="L76"/>
  <c r="L73"/>
  <c r="K73"/>
  <c r="K68"/>
  <c r="L70"/>
  <c r="K70"/>
  <c r="L68"/>
  <c r="K65"/>
  <c r="L65"/>
  <c r="K64"/>
  <c r="L64"/>
  <c r="L54"/>
  <c r="K54"/>
  <c r="L53"/>
  <c r="K53"/>
  <c r="K52"/>
  <c r="L52"/>
  <c r="L50"/>
  <c r="K50"/>
  <c r="K48"/>
  <c r="L48"/>
  <c r="L47"/>
  <c r="K47"/>
  <c r="L46"/>
  <c r="K46"/>
  <c r="L42"/>
  <c r="K42"/>
  <c r="K41"/>
  <c r="L41"/>
  <c r="K39"/>
  <c r="L39"/>
  <c r="K38"/>
  <c r="L38"/>
  <c r="K25"/>
  <c r="L75"/>
  <c r="K75"/>
  <c r="L74"/>
  <c r="K74"/>
  <c r="L72"/>
  <c r="K72"/>
  <c r="L71"/>
  <c r="K71"/>
  <c r="L69"/>
  <c r="K69"/>
  <c r="L67"/>
  <c r="K67"/>
  <c r="L66"/>
  <c r="K66"/>
  <c r="L61"/>
  <c r="L62"/>
  <c r="L63"/>
  <c r="K63"/>
  <c r="K62"/>
  <c r="K61"/>
  <c r="L60"/>
  <c r="K60"/>
  <c r="L56"/>
  <c r="K56"/>
  <c r="L55"/>
  <c r="K55"/>
  <c r="L51"/>
  <c r="K51"/>
  <c r="L49"/>
  <c r="K49"/>
  <c r="L45"/>
  <c r="K45"/>
  <c r="L43"/>
  <c r="K43"/>
  <c r="L40"/>
  <c r="K40"/>
  <c r="L37"/>
  <c r="K37"/>
  <c r="L36"/>
  <c r="K36"/>
  <c r="L35"/>
  <c r="K35"/>
  <c r="K34"/>
  <c r="L34"/>
  <c r="L31"/>
  <c r="K31"/>
  <c r="L33"/>
  <c r="L32"/>
  <c r="K33"/>
  <c r="K32"/>
  <c r="L30"/>
  <c r="K30"/>
  <c r="L25"/>
  <c r="K22"/>
  <c r="L27"/>
  <c r="L26"/>
  <c r="K27"/>
  <c r="K26"/>
  <c r="L24"/>
  <c r="K24"/>
  <c r="L23"/>
  <c r="K23"/>
  <c r="K21"/>
  <c r="L22"/>
  <c r="L21"/>
  <c r="L20"/>
  <c r="L19"/>
  <c r="L18"/>
  <c r="K20"/>
  <c r="K19"/>
  <c r="K18"/>
  <c r="L17"/>
  <c r="K17"/>
  <c r="L16"/>
  <c r="K16"/>
  <c r="L15"/>
  <c r="L13"/>
  <c r="K13"/>
  <c r="L12"/>
  <c r="K12"/>
  <c r="L10"/>
  <c r="K10"/>
  <c r="K8" i="51" l="1"/>
  <c r="L8"/>
  <c r="E537" i="44" l="1"/>
  <c r="F537"/>
  <c r="E538"/>
  <c r="F538"/>
  <c r="E539"/>
  <c r="F539"/>
  <c r="E540"/>
  <c r="F540"/>
  <c r="E541"/>
  <c r="F541"/>
  <c r="E542"/>
  <c r="F542"/>
  <c r="E543"/>
  <c r="F543"/>
  <c r="E544"/>
  <c r="F544"/>
  <c r="E545"/>
  <c r="F545"/>
  <c r="E546"/>
  <c r="F546"/>
  <c r="E547"/>
  <c r="F547"/>
  <c r="E548"/>
  <c r="F548"/>
  <c r="E549"/>
  <c r="F549"/>
  <c r="E550"/>
  <c r="F550"/>
  <c r="E551"/>
  <c r="F551"/>
  <c r="E552"/>
  <c r="F552"/>
  <c r="E553"/>
  <c r="F553"/>
  <c r="E554"/>
  <c r="F554"/>
  <c r="E555"/>
  <c r="F555"/>
  <c r="E556"/>
  <c r="F556"/>
  <c r="E557"/>
  <c r="F557"/>
  <c r="E558"/>
  <c r="F558"/>
  <c r="E559"/>
  <c r="F559"/>
  <c r="E560"/>
  <c r="F560"/>
  <c r="E561"/>
  <c r="F561"/>
  <c r="E562"/>
  <c r="F562"/>
  <c r="E563"/>
  <c r="F563"/>
  <c r="E564"/>
  <c r="F564"/>
  <c r="E565"/>
  <c r="F565"/>
  <c r="E566"/>
  <c r="F566"/>
  <c r="E567"/>
  <c r="F567"/>
  <c r="E568"/>
  <c r="F568"/>
  <c r="E569"/>
  <c r="F569"/>
  <c r="E570"/>
  <c r="F570"/>
  <c r="E571"/>
  <c r="F571"/>
  <c r="E572"/>
  <c r="F572"/>
  <c r="E573"/>
  <c r="F573"/>
  <c r="E574"/>
  <c r="F574"/>
  <c r="E575"/>
  <c r="F575"/>
  <c r="E576"/>
  <c r="F576"/>
  <c r="E577"/>
  <c r="F577"/>
  <c r="E578"/>
  <c r="F578"/>
  <c r="E579"/>
  <c r="F579"/>
  <c r="E580"/>
  <c r="F580"/>
  <c r="E581"/>
  <c r="F581"/>
  <c r="E582"/>
  <c r="F582"/>
  <c r="E583"/>
  <c r="F583"/>
  <c r="E584"/>
  <c r="F584"/>
  <c r="E585"/>
  <c r="F585"/>
  <c r="E586"/>
  <c r="F586"/>
  <c r="E587"/>
  <c r="F587"/>
  <c r="E588"/>
  <c r="F588"/>
  <c r="E590"/>
  <c r="F590"/>
  <c r="E591"/>
  <c r="F591"/>
  <c r="E592"/>
  <c r="J590" s="1"/>
  <c r="F592"/>
  <c r="K590" s="1"/>
  <c r="E593"/>
  <c r="J591" s="1"/>
  <c r="F593"/>
  <c r="K591" s="1"/>
  <c r="E594"/>
  <c r="F594"/>
  <c r="E595"/>
  <c r="F595"/>
  <c r="E596"/>
  <c r="F596"/>
  <c r="E597"/>
  <c r="F597"/>
  <c r="E600"/>
  <c r="F600"/>
  <c r="E601"/>
  <c r="F601"/>
  <c r="E602"/>
  <c r="F602"/>
  <c r="E603"/>
  <c r="F603"/>
  <c r="E604"/>
  <c r="F604"/>
  <c r="E605"/>
  <c r="F605"/>
  <c r="E607"/>
  <c r="F607"/>
  <c r="F536"/>
  <c r="E536"/>
  <c r="R22" i="52"/>
  <c r="Q22"/>
  <c r="R23"/>
  <c r="Q23"/>
  <c r="R9"/>
  <c r="Q9"/>
  <c r="R8"/>
  <c r="Q8"/>
  <c r="R25"/>
  <c r="Q25"/>
  <c r="R65"/>
  <c r="Q65"/>
  <c r="R64"/>
  <c r="Q64"/>
  <c r="R63"/>
  <c r="Q63"/>
  <c r="R62"/>
  <c r="Q62"/>
  <c r="R60"/>
  <c r="Q60"/>
  <c r="R59"/>
  <c r="Q59"/>
  <c r="R53"/>
  <c r="Q53"/>
  <c r="R61"/>
  <c r="Q61"/>
  <c r="R50"/>
  <c r="Q50"/>
  <c r="R49"/>
  <c r="Q49"/>
  <c r="R48"/>
  <c r="Q48"/>
  <c r="R47"/>
  <c r="Q47"/>
  <c r="R46"/>
  <c r="Q46"/>
  <c r="R45"/>
  <c r="Q45"/>
  <c r="R44"/>
  <c r="Q44"/>
  <c r="R40"/>
  <c r="Q40"/>
  <c r="R36"/>
  <c r="Q36"/>
  <c r="R33"/>
  <c r="Q33"/>
  <c r="R31"/>
  <c r="Q31"/>
  <c r="R39"/>
  <c r="Q39"/>
  <c r="R58"/>
  <c r="Q58"/>
  <c r="R30"/>
  <c r="Q30"/>
  <c r="R21"/>
  <c r="Q21"/>
  <c r="R38"/>
  <c r="Q38"/>
  <c r="R20"/>
  <c r="Q20"/>
  <c r="R35"/>
  <c r="Q35"/>
  <c r="R19"/>
  <c r="Q19"/>
  <c r="R28"/>
  <c r="Q28"/>
  <c r="R18"/>
  <c r="Q18"/>
  <c r="R34"/>
  <c r="Q34"/>
  <c r="R17"/>
  <c r="Q17"/>
  <c r="R29"/>
  <c r="Q29"/>
  <c r="R16"/>
  <c r="Q16"/>
  <c r="R32"/>
  <c r="Q32"/>
  <c r="R15"/>
  <c r="Q15"/>
  <c r="R37"/>
  <c r="Q37"/>
  <c r="R27"/>
  <c r="Q27"/>
  <c r="R12"/>
  <c r="Q12"/>
  <c r="R43"/>
  <c r="Q43"/>
  <c r="R11"/>
  <c r="Q11"/>
  <c r="R42"/>
  <c r="Q42"/>
  <c r="R10"/>
  <c r="Q10"/>
  <c r="R41"/>
  <c r="Q41"/>
  <c r="R24"/>
  <c r="Q24"/>
  <c r="K592" i="44" l="1"/>
  <c r="J592"/>
  <c r="K589"/>
  <c r="J589"/>
  <c r="K587"/>
  <c r="K586"/>
  <c r="J587"/>
  <c r="J586"/>
  <c r="I32" i="43"/>
  <c r="H32"/>
  <c r="G32"/>
  <c r="F32"/>
  <c r="E32"/>
  <c r="D32"/>
  <c r="C32"/>
  <c r="B32"/>
  <c r="Q59" i="50" l="1"/>
  <c r="Q61"/>
  <c r="P61"/>
  <c r="P60"/>
  <c r="P59"/>
  <c r="P58"/>
  <c r="L79"/>
  <c r="K79"/>
  <c r="L78"/>
  <c r="K78"/>
  <c r="L77"/>
  <c r="K77"/>
  <c r="L76"/>
  <c r="K76"/>
  <c r="L75"/>
  <c r="K75"/>
  <c r="L74"/>
  <c r="K74"/>
  <c r="L73"/>
  <c r="K73"/>
  <c r="L72"/>
  <c r="K72"/>
  <c r="L71"/>
  <c r="K71"/>
  <c r="L70"/>
  <c r="K70"/>
  <c r="L69"/>
  <c r="K69"/>
  <c r="L68"/>
  <c r="K68"/>
  <c r="L67"/>
  <c r="K67"/>
  <c r="L66"/>
  <c r="K66"/>
  <c r="L65"/>
  <c r="K65"/>
  <c r="L64"/>
  <c r="K64"/>
  <c r="L63"/>
  <c r="K63"/>
  <c r="L62"/>
  <c r="K62"/>
  <c r="L61"/>
  <c r="K61"/>
  <c r="L60"/>
  <c r="Q60" s="1"/>
  <c r="K60"/>
  <c r="L59"/>
  <c r="K59"/>
  <c r="L58"/>
  <c r="K58"/>
  <c r="L57"/>
  <c r="K57"/>
  <c r="L56"/>
  <c r="K56"/>
  <c r="L55"/>
  <c r="K55"/>
  <c r="L54"/>
  <c r="K54"/>
  <c r="L53"/>
  <c r="K53"/>
  <c r="L52"/>
  <c r="K52"/>
  <c r="L51"/>
  <c r="K51"/>
  <c r="L50"/>
  <c r="K50"/>
  <c r="L49"/>
  <c r="K49"/>
  <c r="L48"/>
  <c r="K48"/>
  <c r="L47"/>
  <c r="K47"/>
  <c r="L46"/>
  <c r="K46"/>
  <c r="L45"/>
  <c r="K45"/>
  <c r="L44"/>
  <c r="K44"/>
  <c r="L43"/>
  <c r="K43"/>
  <c r="L42"/>
  <c r="K42"/>
  <c r="L41"/>
  <c r="K41"/>
  <c r="L40"/>
  <c r="K40"/>
  <c r="L39"/>
  <c r="K39"/>
  <c r="L38"/>
  <c r="K38"/>
  <c r="L37"/>
  <c r="K37"/>
  <c r="L36"/>
  <c r="K36"/>
  <c r="L35"/>
  <c r="K35"/>
  <c r="L34"/>
  <c r="K34"/>
  <c r="L33"/>
  <c r="K33"/>
  <c r="L32"/>
  <c r="K32"/>
  <c r="L31"/>
  <c r="K31"/>
  <c r="L30"/>
  <c r="K30"/>
  <c r="L29"/>
  <c r="K29"/>
  <c r="L28"/>
  <c r="K28"/>
  <c r="L27"/>
  <c r="K27"/>
  <c r="L26"/>
  <c r="K26"/>
  <c r="L25"/>
  <c r="K25"/>
  <c r="L24"/>
  <c r="K24"/>
  <c r="L23"/>
  <c r="Q58" s="1"/>
  <c r="K23"/>
  <c r="L22"/>
  <c r="K22"/>
  <c r="L21"/>
  <c r="K21"/>
  <c r="L20"/>
  <c r="K20"/>
  <c r="L19"/>
  <c r="K19"/>
  <c r="L18"/>
  <c r="K18"/>
  <c r="L17"/>
  <c r="K17"/>
  <c r="L16"/>
  <c r="K16"/>
  <c r="L15"/>
  <c r="K15"/>
  <c r="L14"/>
  <c r="K14"/>
  <c r="L13"/>
  <c r="K13"/>
  <c r="L12"/>
  <c r="K12"/>
  <c r="L11"/>
  <c r="K11"/>
  <c r="L10"/>
  <c r="K10"/>
  <c r="L9"/>
  <c r="K9"/>
  <c r="L8"/>
  <c r="K8"/>
  <c r="K79" i="40"/>
  <c r="L79"/>
  <c r="K54"/>
  <c r="L54"/>
  <c r="K55"/>
  <c r="L55"/>
  <c r="K56"/>
  <c r="L56"/>
  <c r="K57"/>
  <c r="L57"/>
  <c r="K58"/>
  <c r="L58"/>
  <c r="K59"/>
  <c r="L59"/>
  <c r="K60"/>
  <c r="L60"/>
  <c r="K61"/>
  <c r="L61"/>
  <c r="K62"/>
  <c r="L62"/>
  <c r="K63"/>
  <c r="L63"/>
  <c r="K64"/>
  <c r="L64"/>
  <c r="K65"/>
  <c r="L65"/>
  <c r="K66"/>
  <c r="L66"/>
  <c r="K67"/>
  <c r="L67"/>
  <c r="K68"/>
  <c r="L68"/>
  <c r="K69"/>
  <c r="L69"/>
  <c r="K70"/>
  <c r="L70"/>
  <c r="K71"/>
  <c r="L71"/>
  <c r="K72"/>
  <c r="L72"/>
  <c r="K73"/>
  <c r="L73"/>
  <c r="K74"/>
  <c r="L74"/>
  <c r="K75"/>
  <c r="L75"/>
  <c r="K76"/>
  <c r="L76"/>
  <c r="K77"/>
  <c r="L77"/>
  <c r="K78"/>
  <c r="L78"/>
  <c r="K9"/>
  <c r="L9"/>
  <c r="K10"/>
  <c r="L10"/>
  <c r="K11"/>
  <c r="L11"/>
  <c r="K12"/>
  <c r="L12"/>
  <c r="K13"/>
  <c r="L13"/>
  <c r="K14"/>
  <c r="L14"/>
  <c r="K15"/>
  <c r="L15"/>
  <c r="K16"/>
  <c r="L16"/>
  <c r="K17"/>
  <c r="L17"/>
  <c r="K18"/>
  <c r="L18"/>
  <c r="K19"/>
  <c r="L19"/>
  <c r="K20"/>
  <c r="L20"/>
  <c r="K21"/>
  <c r="L21"/>
  <c r="K22"/>
  <c r="L22"/>
  <c r="K23"/>
  <c r="L23"/>
  <c r="K24"/>
  <c r="L24"/>
  <c r="K25"/>
  <c r="L25"/>
  <c r="K26"/>
  <c r="L26"/>
  <c r="K27"/>
  <c r="L27"/>
  <c r="K28"/>
  <c r="L28"/>
  <c r="K29"/>
  <c r="L29"/>
  <c r="K30"/>
  <c r="L30"/>
  <c r="K31"/>
  <c r="L31"/>
  <c r="K32"/>
  <c r="L32"/>
  <c r="K33"/>
  <c r="L33"/>
  <c r="K34"/>
  <c r="L34"/>
  <c r="K35"/>
  <c r="L35"/>
  <c r="K36"/>
  <c r="L36"/>
  <c r="K37"/>
  <c r="L37"/>
  <c r="K38"/>
  <c r="L38"/>
  <c r="K39"/>
  <c r="L39"/>
  <c r="K40"/>
  <c r="L40"/>
  <c r="K41"/>
  <c r="L41"/>
  <c r="K42"/>
  <c r="L42"/>
  <c r="K43"/>
  <c r="L43"/>
  <c r="K44"/>
  <c r="L44"/>
  <c r="K45"/>
  <c r="L45"/>
  <c r="K46"/>
  <c r="L46"/>
  <c r="K47"/>
  <c r="L47"/>
  <c r="K48"/>
  <c r="L48"/>
  <c r="K49"/>
  <c r="L49"/>
  <c r="K50"/>
  <c r="L50"/>
  <c r="K51"/>
  <c r="L51"/>
  <c r="K52"/>
  <c r="L52"/>
  <c r="K53"/>
  <c r="L53"/>
  <c r="L8"/>
  <c r="K8"/>
  <c r="C39" i="43" l="1"/>
  <c r="F143" i="44" s="1"/>
  <c r="E143" l="1"/>
  <c r="C35" i="43" l="1"/>
  <c r="E149" i="44" s="1"/>
  <c r="J141"/>
  <c r="K141"/>
  <c r="G123"/>
  <c r="G143" s="1"/>
  <c r="H84"/>
  <c r="K77" i="51"/>
  <c r="P23" s="1"/>
  <c r="L77"/>
  <c r="Q23" s="1"/>
  <c r="K78"/>
  <c r="P65" s="1"/>
  <c r="L78"/>
  <c r="K79"/>
  <c r="E157" i="44" s="1"/>
  <c r="L79" i="51"/>
  <c r="F157" i="44" s="1"/>
  <c r="K63" i="51"/>
  <c r="E141" i="44" s="1"/>
  <c r="L63" i="51"/>
  <c r="F141" i="44" s="1"/>
  <c r="K64" i="51"/>
  <c r="L64"/>
  <c r="K65"/>
  <c r="P63" s="1"/>
  <c r="L65"/>
  <c r="K66"/>
  <c r="E144" i="44" s="1"/>
  <c r="L66" i="51"/>
  <c r="K67"/>
  <c r="E145" i="44" s="1"/>
  <c r="L67" i="51"/>
  <c r="F145" i="44" s="1"/>
  <c r="K68" i="51"/>
  <c r="E146" i="44" s="1"/>
  <c r="L68" i="51"/>
  <c r="F146" i="44" s="1"/>
  <c r="K69" i="51"/>
  <c r="E147" i="44" s="1"/>
  <c r="L69" i="51"/>
  <c r="F147" i="44" s="1"/>
  <c r="K70" i="51"/>
  <c r="L70"/>
  <c r="K71"/>
  <c r="P44" s="1"/>
  <c r="L71"/>
  <c r="K72"/>
  <c r="E150" i="44" s="1"/>
  <c r="L72" i="51"/>
  <c r="F150" i="44" s="1"/>
  <c r="K73" i="51"/>
  <c r="P8" s="1"/>
  <c r="L73"/>
  <c r="K74"/>
  <c r="L74"/>
  <c r="Q10" s="1"/>
  <c r="K75"/>
  <c r="E153" i="44" s="1"/>
  <c r="J87" s="1"/>
  <c r="L75" i="51"/>
  <c r="Q9" s="1"/>
  <c r="K76"/>
  <c r="P21" s="1"/>
  <c r="L76"/>
  <c r="F154" i="44" s="1"/>
  <c r="K99" s="1"/>
  <c r="K55" i="51"/>
  <c r="P47" s="1"/>
  <c r="L55"/>
  <c r="F133" i="44" s="1"/>
  <c r="K125" s="1"/>
  <c r="K56" i="51"/>
  <c r="L56"/>
  <c r="Q53" s="1"/>
  <c r="K57"/>
  <c r="P51" s="1"/>
  <c r="L57"/>
  <c r="K58"/>
  <c r="E136" i="44" s="1"/>
  <c r="J130" s="1"/>
  <c r="L58" i="51"/>
  <c r="Q52" s="1"/>
  <c r="K59"/>
  <c r="E137" i="44" s="1"/>
  <c r="J124" s="1"/>
  <c r="L59" i="51"/>
  <c r="F137" i="44" s="1"/>
  <c r="K124" s="1"/>
  <c r="K60" i="51"/>
  <c r="L60"/>
  <c r="K61"/>
  <c r="E139" i="44" s="1"/>
  <c r="L61" i="51"/>
  <c r="F139" i="44" s="1"/>
  <c r="K62" i="51"/>
  <c r="E140" i="44" s="1"/>
  <c r="L62" i="51"/>
  <c r="F140" i="44" s="1"/>
  <c r="K53" i="51"/>
  <c r="L53"/>
  <c r="F131" i="44" s="1"/>
  <c r="K54" i="51"/>
  <c r="P17" s="1"/>
  <c r="L54"/>
  <c r="Q17" s="1"/>
  <c r="K52"/>
  <c r="E130" i="44" s="1"/>
  <c r="L52" i="51"/>
  <c r="F130" i="44" s="1"/>
  <c r="K51" i="51"/>
  <c r="L51"/>
  <c r="K49"/>
  <c r="E127" i="44" s="1"/>
  <c r="J96" s="1"/>
  <c r="L49" i="51"/>
  <c r="Q18" s="1"/>
  <c r="K50"/>
  <c r="L50"/>
  <c r="K44"/>
  <c r="P11" s="1"/>
  <c r="L44"/>
  <c r="F122" i="44" s="1"/>
  <c r="K89" s="1"/>
  <c r="K45" i="51"/>
  <c r="E123" i="44" s="1"/>
  <c r="J123" s="1"/>
  <c r="L45" i="51"/>
  <c r="Q45" s="1"/>
  <c r="K46"/>
  <c r="E124" i="44" s="1"/>
  <c r="J90" s="1"/>
  <c r="L46" i="51"/>
  <c r="Q12" s="1"/>
  <c r="K47"/>
  <c r="P15" s="1"/>
  <c r="L47"/>
  <c r="K48"/>
  <c r="E126" i="44" s="1"/>
  <c r="J94" s="1"/>
  <c r="L48" i="51"/>
  <c r="Q16" s="1"/>
  <c r="P45"/>
  <c r="K38"/>
  <c r="E116" i="44" s="1"/>
  <c r="J97" s="1"/>
  <c r="L38" i="51"/>
  <c r="Q19" s="1"/>
  <c r="K39"/>
  <c r="P20" s="1"/>
  <c r="L39"/>
  <c r="F117" i="44" s="1"/>
  <c r="K98" s="1"/>
  <c r="K40" i="51"/>
  <c r="P48" s="1"/>
  <c r="L40"/>
  <c r="Q48" s="1"/>
  <c r="K41"/>
  <c r="E119" i="44" s="1"/>
  <c r="J128" s="1"/>
  <c r="L41" i="51"/>
  <c r="Q50" s="1"/>
  <c r="K42"/>
  <c r="E120" i="44" s="1"/>
  <c r="J127" s="1"/>
  <c r="L42" i="51"/>
  <c r="Q49" s="1"/>
  <c r="K43"/>
  <c r="P13" s="1"/>
  <c r="L43"/>
  <c r="K33"/>
  <c r="E111" i="44" s="1"/>
  <c r="L33" i="51"/>
  <c r="F111" i="44" s="1"/>
  <c r="K34" i="51"/>
  <c r="E112" i="44" s="1"/>
  <c r="L34" i="51"/>
  <c r="F112" i="44" s="1"/>
  <c r="K35" i="51"/>
  <c r="E113" i="44" s="1"/>
  <c r="L35" i="51"/>
  <c r="F113" i="44" s="1"/>
  <c r="K36" i="51"/>
  <c r="E114" i="44" s="1"/>
  <c r="L36" i="51"/>
  <c r="F114" i="44" s="1"/>
  <c r="K37" i="51"/>
  <c r="E115" i="44" s="1"/>
  <c r="L37" i="51"/>
  <c r="F115" i="44" s="1"/>
  <c r="K26" i="51"/>
  <c r="E104" i="44" s="1"/>
  <c r="J109" s="1"/>
  <c r="L26" i="51"/>
  <c r="Q31" s="1"/>
  <c r="K27"/>
  <c r="E105" i="44" s="1"/>
  <c r="J111" s="1"/>
  <c r="L27" i="51"/>
  <c r="F105" i="44" s="1"/>
  <c r="K111" s="1"/>
  <c r="K28" i="51"/>
  <c r="P36" s="1"/>
  <c r="L28"/>
  <c r="F106" i="44" s="1"/>
  <c r="K114" s="1"/>
  <c r="K29" i="51"/>
  <c r="E107" i="44" s="1"/>
  <c r="L29" i="51"/>
  <c r="F107" i="44" s="1"/>
  <c r="K30" i="51"/>
  <c r="E108" i="44" s="1"/>
  <c r="L30" i="51"/>
  <c r="F108" i="44" s="1"/>
  <c r="K31" i="51"/>
  <c r="L31"/>
  <c r="K32"/>
  <c r="E110" i="44" s="1"/>
  <c r="L32" i="51"/>
  <c r="F110" i="44" s="1"/>
  <c r="K25" i="51"/>
  <c r="P39" s="1"/>
  <c r="L25"/>
  <c r="Q39" s="1"/>
  <c r="K12"/>
  <c r="P43" s="1"/>
  <c r="L12"/>
  <c r="Q43" s="1"/>
  <c r="K13"/>
  <c r="P27" s="1"/>
  <c r="L13"/>
  <c r="Q27" s="1"/>
  <c r="K14"/>
  <c r="P40" s="1"/>
  <c r="L14"/>
  <c r="F92" i="44" s="1"/>
  <c r="K118" s="1"/>
  <c r="K15" i="51"/>
  <c r="P37" s="1"/>
  <c r="L15"/>
  <c r="Q37" s="1"/>
  <c r="K16"/>
  <c r="P32" s="1"/>
  <c r="L16"/>
  <c r="Q32" s="1"/>
  <c r="K17"/>
  <c r="P29" s="1"/>
  <c r="L17"/>
  <c r="Q29" s="1"/>
  <c r="K18"/>
  <c r="P34" s="1"/>
  <c r="L18"/>
  <c r="F96" i="44" s="1"/>
  <c r="K112" s="1"/>
  <c r="K19" i="51"/>
  <c r="E97" i="44" s="1"/>
  <c r="J106" s="1"/>
  <c r="L19" i="51"/>
  <c r="Q28" s="1"/>
  <c r="K20"/>
  <c r="P35" s="1"/>
  <c r="L20"/>
  <c r="Q35" s="1"/>
  <c r="K21"/>
  <c r="P38" s="1"/>
  <c r="L21"/>
  <c r="F99" i="44" s="1"/>
  <c r="K116" s="1"/>
  <c r="K22" i="51"/>
  <c r="P30" s="1"/>
  <c r="L22"/>
  <c r="F100" i="44" s="1"/>
  <c r="K108" s="1"/>
  <c r="K23" i="51"/>
  <c r="L23"/>
  <c r="K24"/>
  <c r="E102" i="44" s="1"/>
  <c r="L24" i="51"/>
  <c r="F102" i="44" s="1"/>
  <c r="K11" i="51"/>
  <c r="P42" s="1"/>
  <c r="L11"/>
  <c r="F89" i="44" s="1"/>
  <c r="K120" s="1"/>
  <c r="K10" i="51"/>
  <c r="E88" i="44" s="1"/>
  <c r="J119" s="1"/>
  <c r="L10" i="51"/>
  <c r="Q41" s="1"/>
  <c r="K9"/>
  <c r="P14" s="1"/>
  <c r="L9"/>
  <c r="Q14" s="1"/>
  <c r="P9"/>
  <c r="Q62"/>
  <c r="P62"/>
  <c r="P16"/>
  <c r="P49"/>
  <c r="Q33"/>
  <c r="P33"/>
  <c r="P31"/>
  <c r="P28"/>
  <c r="Q8"/>
  <c r="Q24"/>
  <c r="P24"/>
  <c r="J142" i="44" l="1"/>
  <c r="F138"/>
  <c r="K138" s="1"/>
  <c r="Q60" i="51"/>
  <c r="E138" i="44"/>
  <c r="J138" s="1"/>
  <c r="P60" i="51"/>
  <c r="Q30"/>
  <c r="E101" i="44"/>
  <c r="J136" s="1"/>
  <c r="P58" i="51"/>
  <c r="E109" i="44"/>
  <c r="J137" s="1"/>
  <c r="P59" i="51"/>
  <c r="E122" i="44"/>
  <c r="J89" s="1"/>
  <c r="Q34" i="51"/>
  <c r="P41"/>
  <c r="F101" i="44"/>
  <c r="K136" s="1"/>
  <c r="Q58" i="51"/>
  <c r="F109" i="44"/>
  <c r="K137" s="1"/>
  <c r="Q59" i="51"/>
  <c r="F149" i="44"/>
  <c r="K122" s="1"/>
  <c r="Q20" i="51"/>
  <c r="Q47"/>
  <c r="P50"/>
  <c r="Q46"/>
  <c r="Q36"/>
  <c r="Q63"/>
  <c r="E154" i="44"/>
  <c r="J99" s="1"/>
  <c r="E90"/>
  <c r="J121" s="1"/>
  <c r="P52" i="51"/>
  <c r="F153" i="44"/>
  <c r="K87" s="1"/>
  <c r="E133"/>
  <c r="J125" s="1"/>
  <c r="F118"/>
  <c r="K126" s="1"/>
  <c r="E87"/>
  <c r="J92" s="1"/>
  <c r="F127"/>
  <c r="K96" s="1"/>
  <c r="F116"/>
  <c r="K97" s="1"/>
  <c r="E95"/>
  <c r="J107" s="1"/>
  <c r="E91"/>
  <c r="J105" s="1"/>
  <c r="F103"/>
  <c r="K117" s="1"/>
  <c r="Q38" i="51"/>
  <c r="P19"/>
  <c r="Q65"/>
  <c r="Q44"/>
  <c r="P18"/>
  <c r="Q61"/>
  <c r="F155" i="44"/>
  <c r="K101" s="1"/>
  <c r="E125"/>
  <c r="J93" s="1"/>
  <c r="F123"/>
  <c r="K123" s="1"/>
  <c r="E121"/>
  <c r="J91" s="1"/>
  <c r="E117"/>
  <c r="J98" s="1"/>
  <c r="F124"/>
  <c r="K90" s="1"/>
  <c r="E106"/>
  <c r="J114" s="1"/>
  <c r="Q21" i="51"/>
  <c r="E131" i="44"/>
  <c r="Q40" i="51"/>
  <c r="Q11"/>
  <c r="Q64"/>
  <c r="P64"/>
  <c r="F136" i="44"/>
  <c r="K130" s="1"/>
  <c r="F120"/>
  <c r="K127" s="1"/>
  <c r="F104"/>
  <c r="K109" s="1"/>
  <c r="E99"/>
  <c r="J116" s="1"/>
  <c r="F95"/>
  <c r="K107" s="1"/>
  <c r="F91"/>
  <c r="K105" s="1"/>
  <c r="E89"/>
  <c r="J120" s="1"/>
  <c r="F88"/>
  <c r="K119" s="1"/>
  <c r="Q15" i="51"/>
  <c r="F125" i="44"/>
  <c r="K93" s="1"/>
  <c r="F134"/>
  <c r="K131" s="1"/>
  <c r="F132"/>
  <c r="K95" s="1"/>
  <c r="E118"/>
  <c r="J126" s="1"/>
  <c r="F98"/>
  <c r="K113" s="1"/>
  <c r="E93"/>
  <c r="J115" s="1"/>
  <c r="P12" i="51"/>
  <c r="P61"/>
  <c r="F135" i="44"/>
  <c r="K129" s="1"/>
  <c r="Q51" i="51"/>
  <c r="P53"/>
  <c r="E134" i="44"/>
  <c r="J131" s="1"/>
  <c r="P10" i="51"/>
  <c r="F86" i="44"/>
  <c r="K102" s="1"/>
  <c r="E132"/>
  <c r="J95" s="1"/>
  <c r="F126"/>
  <c r="K94" s="1"/>
  <c r="F119"/>
  <c r="K128" s="1"/>
  <c r="E98"/>
  <c r="J113" s="1"/>
  <c r="F94"/>
  <c r="K110" s="1"/>
  <c r="F87"/>
  <c r="K92" s="1"/>
  <c r="Q42" i="51"/>
  <c r="P46"/>
  <c r="F121" i="44"/>
  <c r="K91" s="1"/>
  <c r="Q13" i="51"/>
  <c r="E86" i="44"/>
  <c r="J102" s="1"/>
  <c r="F144"/>
  <c r="K142" s="1"/>
  <c r="E135"/>
  <c r="J129" s="1"/>
  <c r="K100"/>
  <c r="E103"/>
  <c r="J117" s="1"/>
  <c r="E94"/>
  <c r="J110" s="1"/>
  <c r="F90"/>
  <c r="K121" s="1"/>
  <c r="E155"/>
  <c r="J101" s="1"/>
  <c r="E100"/>
  <c r="J108" s="1"/>
  <c r="F97"/>
  <c r="K106" s="1"/>
  <c r="E96"/>
  <c r="J112" s="1"/>
  <c r="F93"/>
  <c r="K115" s="1"/>
  <c r="E92"/>
  <c r="J118" s="1"/>
  <c r="J122"/>
  <c r="J100"/>
  <c r="Q22" i="51"/>
  <c r="P25"/>
  <c r="P22"/>
  <c r="Q25"/>
  <c r="G198" i="44" l="1"/>
  <c r="G218" s="1"/>
  <c r="H159"/>
  <c r="K212" l="1"/>
  <c r="P44" i="50"/>
  <c r="Q44"/>
  <c r="P65"/>
  <c r="Q65"/>
  <c r="J175" i="44"/>
  <c r="J213" l="1"/>
  <c r="J212"/>
  <c r="K211"/>
  <c r="J211"/>
  <c r="J178"/>
  <c r="K178"/>
  <c r="K213"/>
  <c r="Q37" i="50"/>
  <c r="P63"/>
  <c r="Q62"/>
  <c r="K215" i="44"/>
  <c r="Q51" i="50"/>
  <c r="Q16"/>
  <c r="Q45"/>
  <c r="P48"/>
  <c r="P34"/>
  <c r="Q40"/>
  <c r="P42"/>
  <c r="P41"/>
  <c r="P23"/>
  <c r="Q10"/>
  <c r="Q8"/>
  <c r="Q63"/>
  <c r="P51"/>
  <c r="P17"/>
  <c r="P18"/>
  <c r="P16"/>
  <c r="Q12"/>
  <c r="P45"/>
  <c r="P49"/>
  <c r="P50"/>
  <c r="P19"/>
  <c r="Q36"/>
  <c r="Q33"/>
  <c r="P35"/>
  <c r="Q28"/>
  <c r="P37"/>
  <c r="Q43"/>
  <c r="Q42"/>
  <c r="P24"/>
  <c r="P10"/>
  <c r="K217" i="44"/>
  <c r="Q64" i="50"/>
  <c r="Q46"/>
  <c r="P52"/>
  <c r="Q47"/>
  <c r="Q17"/>
  <c r="Q15"/>
  <c r="P12"/>
  <c r="Q13"/>
  <c r="Q49"/>
  <c r="Q20"/>
  <c r="Q19"/>
  <c r="P36"/>
  <c r="Q39"/>
  <c r="Q38"/>
  <c r="Q35"/>
  <c r="Q29"/>
  <c r="Q32"/>
  <c r="Q27"/>
  <c r="P43"/>
  <c r="Q14"/>
  <c r="Q24"/>
  <c r="Q23"/>
  <c r="P21"/>
  <c r="P9"/>
  <c r="P8"/>
  <c r="P53"/>
  <c r="Q18"/>
  <c r="P11"/>
  <c r="Q50"/>
  <c r="P33"/>
  <c r="P31"/>
  <c r="P30"/>
  <c r="P28"/>
  <c r="K190" i="44"/>
  <c r="P14" i="50"/>
  <c r="Q52"/>
  <c r="K175" i="44"/>
  <c r="Q21" i="50"/>
  <c r="Q9"/>
  <c r="J217" i="44"/>
  <c r="P64" i="50"/>
  <c r="P62"/>
  <c r="J215" i="44"/>
  <c r="P46" i="50"/>
  <c r="Q53"/>
  <c r="P47"/>
  <c r="P15"/>
  <c r="Q11"/>
  <c r="P13"/>
  <c r="Q48"/>
  <c r="P20"/>
  <c r="Q31"/>
  <c r="P39"/>
  <c r="Q30"/>
  <c r="P38"/>
  <c r="Q34"/>
  <c r="P29"/>
  <c r="P32"/>
  <c r="P40"/>
  <c r="P27"/>
  <c r="Q41"/>
  <c r="Q22"/>
  <c r="P25"/>
  <c r="Q25"/>
  <c r="P22"/>
  <c r="J177" i="44" l="1"/>
  <c r="K195"/>
  <c r="K181"/>
  <c r="K189"/>
  <c r="J195"/>
  <c r="K193"/>
  <c r="J187"/>
  <c r="J201"/>
  <c r="K198"/>
  <c r="K194"/>
  <c r="J180"/>
  <c r="J185"/>
  <c r="K187"/>
  <c r="J191"/>
  <c r="J192"/>
  <c r="K201"/>
  <c r="J166"/>
  <c r="J200"/>
  <c r="K174"/>
  <c r="J167"/>
  <c r="J181"/>
  <c r="J186"/>
  <c r="K203"/>
  <c r="J206"/>
  <c r="J161"/>
  <c r="J174"/>
  <c r="K177"/>
  <c r="K180"/>
  <c r="K185"/>
  <c r="K191"/>
  <c r="K172"/>
  <c r="K166"/>
  <c r="J165"/>
  <c r="K200"/>
  <c r="J205"/>
  <c r="J172"/>
  <c r="J203"/>
  <c r="K165"/>
  <c r="J171"/>
  <c r="K161"/>
  <c r="K196"/>
  <c r="J190"/>
  <c r="J188"/>
  <c r="K186"/>
  <c r="J194"/>
  <c r="K169"/>
  <c r="K204"/>
  <c r="J193"/>
  <c r="J182"/>
  <c r="K183"/>
  <c r="K184"/>
  <c r="J173"/>
  <c r="K164"/>
  <c r="J168"/>
  <c r="K206"/>
  <c r="J199"/>
  <c r="K162"/>
  <c r="K205"/>
  <c r="J183"/>
  <c r="J184"/>
  <c r="J164"/>
  <c r="K171"/>
  <c r="J162"/>
  <c r="K176"/>
  <c r="K167"/>
  <c r="J196"/>
  <c r="K182"/>
  <c r="K188"/>
  <c r="K192"/>
  <c r="J189"/>
  <c r="K173"/>
  <c r="K202"/>
  <c r="K168"/>
  <c r="K170"/>
  <c r="K199"/>
  <c r="J163"/>
  <c r="J202"/>
  <c r="J198"/>
  <c r="J169"/>
  <c r="J170"/>
  <c r="J204"/>
  <c r="K163"/>
  <c r="J176"/>
  <c r="G48"/>
  <c r="G68" s="1"/>
  <c r="G273"/>
  <c r="G293" s="1"/>
  <c r="G348"/>
  <c r="G368" s="1"/>
  <c r="G498"/>
  <c r="G518" s="1"/>
  <c r="G573"/>
  <c r="G593" s="1"/>
  <c r="G423"/>
  <c r="G443" s="1"/>
  <c r="H9"/>
  <c r="H234"/>
  <c r="H309"/>
  <c r="H534"/>
  <c r="H459"/>
  <c r="H384"/>
  <c r="K11" i="49" l="1"/>
  <c r="L11"/>
  <c r="L79"/>
  <c r="K79"/>
  <c r="Q80" i="53" s="1"/>
  <c r="L76" i="49"/>
  <c r="K76"/>
  <c r="Q77" i="53" s="1"/>
  <c r="L78" i="49"/>
  <c r="R79" i="53" s="1"/>
  <c r="K78" i="49"/>
  <c r="L77"/>
  <c r="K77"/>
  <c r="Q78" i="53" s="1"/>
  <c r="K75" i="49"/>
  <c r="L75"/>
  <c r="K74"/>
  <c r="Q75" i="53" s="1"/>
  <c r="L74" i="49"/>
  <c r="K388" i="44" s="1"/>
  <c r="K73" i="49"/>
  <c r="Q74" i="53" s="1"/>
  <c r="L73" i="49"/>
  <c r="K72"/>
  <c r="Q73" i="53" s="1"/>
  <c r="L72" i="49"/>
  <c r="K71"/>
  <c r="L71"/>
  <c r="Q44" s="1"/>
  <c r="K70"/>
  <c r="Q71" i="53" s="1"/>
  <c r="L70" i="49"/>
  <c r="R71" i="53" s="1"/>
  <c r="K53" i="49"/>
  <c r="Q54" i="53" s="1"/>
  <c r="L53" i="49"/>
  <c r="K54"/>
  <c r="Q55" i="53" s="1"/>
  <c r="L54" i="49"/>
  <c r="K395" i="44" s="1"/>
  <c r="K55" i="49"/>
  <c r="Q56" i="53" s="1"/>
  <c r="L55" i="49"/>
  <c r="Q47" s="1"/>
  <c r="K56"/>
  <c r="Q57" i="53" s="1"/>
  <c r="L56" i="49"/>
  <c r="K57"/>
  <c r="Q58" i="53" s="1"/>
  <c r="L57" i="49"/>
  <c r="K58"/>
  <c r="Q59" i="53" s="1"/>
  <c r="L58" i="49"/>
  <c r="Q52" s="1"/>
  <c r="K59"/>
  <c r="L59"/>
  <c r="K60"/>
  <c r="L60"/>
  <c r="K61"/>
  <c r="Q62" i="53" s="1"/>
  <c r="L61" i="49"/>
  <c r="K62"/>
  <c r="Q63" i="53" s="1"/>
  <c r="L62" i="49"/>
  <c r="K63"/>
  <c r="Q64" i="53" s="1"/>
  <c r="L63" i="49"/>
  <c r="K64"/>
  <c r="L64"/>
  <c r="K65"/>
  <c r="L65"/>
  <c r="K66"/>
  <c r="L66"/>
  <c r="K67"/>
  <c r="L67"/>
  <c r="K68"/>
  <c r="Q69" i="53" s="1"/>
  <c r="L68" i="49"/>
  <c r="K69"/>
  <c r="Q70" i="53" s="1"/>
  <c r="L69" i="49"/>
  <c r="K52"/>
  <c r="Q53" i="53" s="1"/>
  <c r="L52" i="49"/>
  <c r="Q52" i="53"/>
  <c r="R52"/>
  <c r="K34" i="49"/>
  <c r="L34"/>
  <c r="K35"/>
  <c r="Q36" i="53" s="1"/>
  <c r="L35" i="49"/>
  <c r="K36"/>
  <c r="Q37" i="53" s="1"/>
  <c r="L36" i="49"/>
  <c r="K37"/>
  <c r="Q38" i="53" s="1"/>
  <c r="L37" i="49"/>
  <c r="Q39" i="53"/>
  <c r="Q40"/>
  <c r="L38" i="49"/>
  <c r="K398" i="44" s="1"/>
  <c r="Q41" i="53"/>
  <c r="L39" i="49"/>
  <c r="Q48" s="1"/>
  <c r="L40"/>
  <c r="Q50" s="1"/>
  <c r="Q43" i="53"/>
  <c r="L41" i="49"/>
  <c r="J427" i="44" s="1"/>
  <c r="Q44" i="53"/>
  <c r="L42" i="49"/>
  <c r="AB48" i="42" s="1"/>
  <c r="L43" i="49"/>
  <c r="Q11" s="1"/>
  <c r="Q46" i="53"/>
  <c r="L44" i="49"/>
  <c r="Q47" i="53"/>
  <c r="L45" i="49"/>
  <c r="Q12" s="1"/>
  <c r="Q48" i="53"/>
  <c r="L46" i="49"/>
  <c r="Q15" s="1"/>
  <c r="L47"/>
  <c r="L48"/>
  <c r="L49"/>
  <c r="K27"/>
  <c r="Q28" i="53" s="1"/>
  <c r="L27" i="49"/>
  <c r="K28"/>
  <c r="Q29" i="53" s="1"/>
  <c r="L28" i="49"/>
  <c r="K29"/>
  <c r="Q30" i="53" s="1"/>
  <c r="L29" i="49"/>
  <c r="K30"/>
  <c r="Q31" i="53" s="1"/>
  <c r="L30" i="49"/>
  <c r="K31"/>
  <c r="L31"/>
  <c r="K32"/>
  <c r="Q33" i="53" s="1"/>
  <c r="L32" i="49"/>
  <c r="K33"/>
  <c r="Q34" i="53" s="1"/>
  <c r="L33" i="49"/>
  <c r="K13"/>
  <c r="L13"/>
  <c r="Q27" s="1"/>
  <c r="K14"/>
  <c r="Q15" i="53" s="1"/>
  <c r="L14" i="49"/>
  <c r="Q40" s="1"/>
  <c r="K15"/>
  <c r="L15"/>
  <c r="K415" i="44" s="1"/>
  <c r="K16" i="49"/>
  <c r="Q17" i="53" s="1"/>
  <c r="L16" i="49"/>
  <c r="Q32" s="1"/>
  <c r="K17"/>
  <c r="L17"/>
  <c r="Q29" s="1"/>
  <c r="K18"/>
  <c r="Q19" i="53" s="1"/>
  <c r="L18" i="49"/>
  <c r="K19"/>
  <c r="L19"/>
  <c r="K20"/>
  <c r="Q21" i="53" s="1"/>
  <c r="L20" i="49"/>
  <c r="K21"/>
  <c r="Q22" i="53" s="1"/>
  <c r="L21" i="49"/>
  <c r="Q38" s="1"/>
  <c r="K22"/>
  <c r="Q23" i="53" s="1"/>
  <c r="L22" i="49"/>
  <c r="K23"/>
  <c r="L23"/>
  <c r="K24"/>
  <c r="Q25" i="53" s="1"/>
  <c r="L24" i="49"/>
  <c r="K25"/>
  <c r="L25"/>
  <c r="K26"/>
  <c r="Q27" i="53" s="1"/>
  <c r="L26" i="49"/>
  <c r="L12"/>
  <c r="K12"/>
  <c r="K8"/>
  <c r="Q9" i="53" s="1"/>
  <c r="L8" i="49"/>
  <c r="K9"/>
  <c r="Q10" i="53" s="1"/>
  <c r="L9" i="49"/>
  <c r="K10"/>
  <c r="Q11" i="53" s="1"/>
  <c r="L10" i="49"/>
  <c r="Q41" s="1"/>
  <c r="Q9"/>
  <c r="P10"/>
  <c r="P45"/>
  <c r="P48"/>
  <c r="Q28"/>
  <c r="Q35"/>
  <c r="F390" i="44" l="1"/>
  <c r="E390" s="1"/>
  <c r="AB18" i="42"/>
  <c r="F443" i="44"/>
  <c r="E443" s="1"/>
  <c r="J441" s="1"/>
  <c r="AB71" i="42"/>
  <c r="F421" i="44"/>
  <c r="E421" s="1"/>
  <c r="J391" s="1"/>
  <c r="P52" i="49"/>
  <c r="P23"/>
  <c r="Q39"/>
  <c r="P13"/>
  <c r="Q65"/>
  <c r="P14"/>
  <c r="P21"/>
  <c r="P15"/>
  <c r="Q43"/>
  <c r="P32"/>
  <c r="P35"/>
  <c r="Q49"/>
  <c r="P8"/>
  <c r="Q17"/>
  <c r="P30"/>
  <c r="P20"/>
  <c r="J395" i="44"/>
  <c r="P33" i="49"/>
  <c r="P49"/>
  <c r="Q18"/>
  <c r="P17"/>
  <c r="P36"/>
  <c r="P47"/>
  <c r="K427" i="44"/>
  <c r="Q31" i="49"/>
  <c r="P39"/>
  <c r="Q26" i="53"/>
  <c r="Q35"/>
  <c r="P22" i="49"/>
  <c r="Q63"/>
  <c r="K441" i="44"/>
  <c r="P60" i="49"/>
  <c r="Q61" i="53"/>
  <c r="R58"/>
  <c r="R54"/>
  <c r="R80"/>
  <c r="Q13" i="49"/>
  <c r="Q10"/>
  <c r="R24" i="53"/>
  <c r="Q58" i="49"/>
  <c r="R29" i="53"/>
  <c r="R45"/>
  <c r="Q64" i="49"/>
  <c r="R67" i="53"/>
  <c r="P63" i="49"/>
  <c r="Q66" i="53"/>
  <c r="R59"/>
  <c r="Q8" i="49"/>
  <c r="P65"/>
  <c r="Q79" i="53"/>
  <c r="Q42" i="49"/>
  <c r="J388" i="44"/>
  <c r="J415"/>
  <c r="P24" i="49"/>
  <c r="P41"/>
  <c r="P38"/>
  <c r="P31"/>
  <c r="Q20"/>
  <c r="P51"/>
  <c r="P43"/>
  <c r="Q13" i="53"/>
  <c r="R25"/>
  <c r="P58" i="49"/>
  <c r="Q24" i="53"/>
  <c r="R21"/>
  <c r="P28" i="49"/>
  <c r="Q20" i="53"/>
  <c r="R17"/>
  <c r="P37" i="49"/>
  <c r="Q16" i="53"/>
  <c r="R34"/>
  <c r="R30"/>
  <c r="J396" i="44"/>
  <c r="K396"/>
  <c r="P16" i="49"/>
  <c r="Q49" i="53"/>
  <c r="Q45" i="49"/>
  <c r="R46" i="53"/>
  <c r="P11" i="49"/>
  <c r="Q45" i="53"/>
  <c r="R53"/>
  <c r="Q25" i="49"/>
  <c r="R68" i="53"/>
  <c r="Q67"/>
  <c r="P64" i="49"/>
  <c r="R64" i="53"/>
  <c r="Q46" i="49"/>
  <c r="R60" i="53"/>
  <c r="R56"/>
  <c r="R76"/>
  <c r="P42" i="49"/>
  <c r="Q12" i="53"/>
  <c r="Q30" i="49"/>
  <c r="R23" i="53"/>
  <c r="Q34" i="49"/>
  <c r="P29"/>
  <c r="Q18" i="53"/>
  <c r="P27" i="49"/>
  <c r="Q14" i="53"/>
  <c r="Q59" i="49"/>
  <c r="Q33"/>
  <c r="R28" i="53"/>
  <c r="P61" i="49"/>
  <c r="Q51" i="53"/>
  <c r="R36"/>
  <c r="R70"/>
  <c r="P62" i="49"/>
  <c r="Q65" i="53"/>
  <c r="P44" i="49"/>
  <c r="Q72" i="53"/>
  <c r="Q14" i="49"/>
  <c r="R10" i="53"/>
  <c r="R20"/>
  <c r="R33"/>
  <c r="Q32"/>
  <c r="P59" i="49"/>
  <c r="Q16"/>
  <c r="R41" i="53"/>
  <c r="R37"/>
  <c r="R73"/>
  <c r="Q21" i="49"/>
  <c r="P40"/>
  <c r="Q37"/>
  <c r="P34"/>
  <c r="P19"/>
  <c r="Q36"/>
  <c r="P12"/>
  <c r="Q51"/>
  <c r="P53"/>
  <c r="R11" i="53"/>
  <c r="Q24" i="49"/>
  <c r="R9" i="53"/>
  <c r="K421" i="44"/>
  <c r="J421"/>
  <c r="J417"/>
  <c r="K417"/>
  <c r="R22" i="53"/>
  <c r="R18"/>
  <c r="R14"/>
  <c r="R31"/>
  <c r="Q61" i="49"/>
  <c r="P18"/>
  <c r="Q50" i="53"/>
  <c r="R47"/>
  <c r="P50" i="49"/>
  <c r="Q42" i="53"/>
  <c r="Q19" i="49"/>
  <c r="R39" i="53"/>
  <c r="Q22" i="49"/>
  <c r="R35" i="53"/>
  <c r="R69"/>
  <c r="Q68"/>
  <c r="P25" i="49"/>
  <c r="Q62"/>
  <c r="K440" i="44"/>
  <c r="R61" i="53"/>
  <c r="Q60" i="49"/>
  <c r="K438" i="44"/>
  <c r="P46" i="49"/>
  <c r="Q60" i="53"/>
  <c r="Q53" i="49"/>
  <c r="P9"/>
  <c r="Q76" i="53"/>
  <c r="Q23" i="49"/>
  <c r="J398" i="44"/>
  <c r="E39" i="43"/>
  <c r="F293" i="44" s="1"/>
  <c r="K291" s="1"/>
  <c r="J284"/>
  <c r="J55" i="45" s="1"/>
  <c r="K284" i="44"/>
  <c r="K55" i="45" s="1"/>
  <c r="AS29" i="42"/>
  <c r="M24" i="53" s="1"/>
  <c r="AT29" i="42"/>
  <c r="N24" i="53" s="1"/>
  <c r="M53"/>
  <c r="M67"/>
  <c r="M74"/>
  <c r="K391" i="44" l="1"/>
  <c r="K437"/>
  <c r="K436"/>
  <c r="K442"/>
  <c r="L55" i="45"/>
  <c r="J418" i="44"/>
  <c r="K418"/>
  <c r="K389"/>
  <c r="J389"/>
  <c r="J414"/>
  <c r="K414"/>
  <c r="K401"/>
  <c r="J401"/>
  <c r="K431"/>
  <c r="J431"/>
  <c r="J407"/>
  <c r="K407"/>
  <c r="J393"/>
  <c r="K393"/>
  <c r="K411"/>
  <c r="J411"/>
  <c r="J425"/>
  <c r="K425"/>
  <c r="K410"/>
  <c r="J410"/>
  <c r="J409"/>
  <c r="K409"/>
  <c r="J397"/>
  <c r="K397"/>
  <c r="K405"/>
  <c r="J405"/>
  <c r="J416"/>
  <c r="K416"/>
  <c r="J419"/>
  <c r="K419"/>
  <c r="J406"/>
  <c r="K406"/>
  <c r="K392"/>
  <c r="K413"/>
  <c r="J413"/>
  <c r="K430"/>
  <c r="K400"/>
  <c r="J400"/>
  <c r="J399"/>
  <c r="K399"/>
  <c r="K394"/>
  <c r="J394"/>
  <c r="J408"/>
  <c r="K408"/>
  <c r="J424"/>
  <c r="K424"/>
  <c r="J428"/>
  <c r="K428"/>
  <c r="K390"/>
  <c r="J390"/>
  <c r="J402"/>
  <c r="K402"/>
  <c r="K426"/>
  <c r="J426"/>
  <c r="K412"/>
  <c r="J412"/>
  <c r="J387"/>
  <c r="K387"/>
  <c r="K423"/>
  <c r="J423"/>
  <c r="J420"/>
  <c r="K420"/>
  <c r="J386"/>
  <c r="K386"/>
  <c r="K429"/>
  <c r="E293"/>
  <c r="J291" s="1"/>
  <c r="Q63" i="48"/>
  <c r="P63"/>
  <c r="K74"/>
  <c r="J238" i="44" s="1"/>
  <c r="L74" i="48"/>
  <c r="K238" i="44" s="1"/>
  <c r="K75" i="48"/>
  <c r="J237" i="44" s="1"/>
  <c r="L75" i="48"/>
  <c r="K237" i="44" s="1"/>
  <c r="K76" i="48"/>
  <c r="J249" i="44" s="1"/>
  <c r="L76" i="48"/>
  <c r="K249" i="44" s="1"/>
  <c r="K77" i="48"/>
  <c r="J251" i="44" s="1"/>
  <c r="K251"/>
  <c r="K78" i="48"/>
  <c r="P65" s="1"/>
  <c r="L78"/>
  <c r="K73"/>
  <c r="L73"/>
  <c r="K236" i="44" s="1"/>
  <c r="K67" i="48"/>
  <c r="L67"/>
  <c r="K68"/>
  <c r="L68"/>
  <c r="K69"/>
  <c r="L69"/>
  <c r="K70"/>
  <c r="E298" i="44" s="1"/>
  <c r="L70" i="48"/>
  <c r="F298" i="44" s="1"/>
  <c r="K71" i="48"/>
  <c r="J272" i="44" s="1"/>
  <c r="L71" i="48"/>
  <c r="K272" i="44" s="1"/>
  <c r="K66" i="48"/>
  <c r="L66"/>
  <c r="K55"/>
  <c r="J275" i="44" s="1"/>
  <c r="L55" i="48"/>
  <c r="K56"/>
  <c r="J281" i="44" s="1"/>
  <c r="L56" i="48"/>
  <c r="K281" i="44" s="1"/>
  <c r="K57" i="48"/>
  <c r="J279" i="44" s="1"/>
  <c r="L57" i="48"/>
  <c r="K279" i="44" s="1"/>
  <c r="K58" i="48"/>
  <c r="J280" i="44" s="1"/>
  <c r="L58" i="48"/>
  <c r="K280" i="44" s="1"/>
  <c r="K59" i="48"/>
  <c r="J274" i="44" s="1"/>
  <c r="L59" i="48"/>
  <c r="K60"/>
  <c r="L60"/>
  <c r="K61"/>
  <c r="L61"/>
  <c r="K62"/>
  <c r="L62"/>
  <c r="K63"/>
  <c r="L63"/>
  <c r="K64"/>
  <c r="J290" i="44" s="1"/>
  <c r="L64" i="48"/>
  <c r="K290" i="44" s="1"/>
  <c r="K54" i="48"/>
  <c r="J245" i="44" s="1"/>
  <c r="L54" i="48"/>
  <c r="K245" i="44" s="1"/>
  <c r="K25" i="48"/>
  <c r="L25"/>
  <c r="Q39" s="1"/>
  <c r="K26"/>
  <c r="L26"/>
  <c r="K27"/>
  <c r="L27"/>
  <c r="K28"/>
  <c r="P36" s="1"/>
  <c r="L28"/>
  <c r="K29"/>
  <c r="L29"/>
  <c r="K30"/>
  <c r="L30"/>
  <c r="K31"/>
  <c r="L31"/>
  <c r="K32"/>
  <c r="L32"/>
  <c r="K33"/>
  <c r="L33"/>
  <c r="K34"/>
  <c r="L34"/>
  <c r="K35"/>
  <c r="L35"/>
  <c r="K36"/>
  <c r="L36"/>
  <c r="K37"/>
  <c r="L37"/>
  <c r="K38"/>
  <c r="L38"/>
  <c r="K39"/>
  <c r="L39"/>
  <c r="K40"/>
  <c r="P48" s="1"/>
  <c r="L40"/>
  <c r="Q48" s="1"/>
  <c r="K41"/>
  <c r="L41"/>
  <c r="Q50" s="1"/>
  <c r="K42"/>
  <c r="P49" s="1"/>
  <c r="L42"/>
  <c r="K43"/>
  <c r="L43"/>
  <c r="K44"/>
  <c r="P11" s="1"/>
  <c r="L44"/>
  <c r="K45"/>
  <c r="L45"/>
  <c r="Q45" s="1"/>
  <c r="K46"/>
  <c r="L46"/>
  <c r="Q12" s="1"/>
  <c r="K47"/>
  <c r="L47"/>
  <c r="K48"/>
  <c r="P16" s="1"/>
  <c r="L48"/>
  <c r="Q16" s="1"/>
  <c r="K49"/>
  <c r="L49"/>
  <c r="K51"/>
  <c r="L51"/>
  <c r="K52"/>
  <c r="L52"/>
  <c r="K53"/>
  <c r="L53"/>
  <c r="K24"/>
  <c r="L24"/>
  <c r="K9"/>
  <c r="L9"/>
  <c r="K10"/>
  <c r="P41" s="1"/>
  <c r="L10"/>
  <c r="K11"/>
  <c r="L11"/>
  <c r="K12"/>
  <c r="L12"/>
  <c r="K13"/>
  <c r="P27" s="1"/>
  <c r="L13"/>
  <c r="K14"/>
  <c r="P40" s="1"/>
  <c r="L14"/>
  <c r="K15"/>
  <c r="L15"/>
  <c r="Q37" s="1"/>
  <c r="K16"/>
  <c r="L16"/>
  <c r="K17"/>
  <c r="L17"/>
  <c r="K18"/>
  <c r="P34" s="1"/>
  <c r="L18"/>
  <c r="K19"/>
  <c r="L19"/>
  <c r="K20"/>
  <c r="P35" s="1"/>
  <c r="L20"/>
  <c r="K21"/>
  <c r="L21"/>
  <c r="K22"/>
  <c r="P30" s="1"/>
  <c r="L22"/>
  <c r="L8"/>
  <c r="Q24" s="1"/>
  <c r="K8"/>
  <c r="P51"/>
  <c r="P47" l="1"/>
  <c r="K288" i="44"/>
  <c r="K292"/>
  <c r="J288"/>
  <c r="J292"/>
  <c r="P52" i="48"/>
  <c r="Q51"/>
  <c r="P8"/>
  <c r="J236" i="44"/>
  <c r="Q52" i="48"/>
  <c r="P23"/>
  <c r="Q46"/>
  <c r="K274" i="44"/>
  <c r="Q47" i="48"/>
  <c r="K275" i="44"/>
  <c r="Q8" i="48"/>
  <c r="J429" i="44"/>
  <c r="J392"/>
  <c r="J430"/>
  <c r="K258"/>
  <c r="P38" i="48"/>
  <c r="J266" i="44"/>
  <c r="K262"/>
  <c r="P29" i="48"/>
  <c r="J257" i="44"/>
  <c r="Q40" i="48"/>
  <c r="K268" i="44"/>
  <c r="J255"/>
  <c r="Q41" i="48"/>
  <c r="K269" i="44"/>
  <c r="P14" i="48"/>
  <c r="J242" i="44"/>
  <c r="Q61" i="48"/>
  <c r="P61"/>
  <c r="Q15"/>
  <c r="K243" i="44"/>
  <c r="P12" i="48"/>
  <c r="J240" i="44"/>
  <c r="Q13" i="48"/>
  <c r="K241" i="44"/>
  <c r="J277"/>
  <c r="Q20" i="48"/>
  <c r="K248" i="44"/>
  <c r="P19" i="48"/>
  <c r="J247" i="44"/>
  <c r="P22" i="48"/>
  <c r="Q59"/>
  <c r="K261" i="44"/>
  <c r="P31" i="48"/>
  <c r="J259" i="44"/>
  <c r="Q62" i="48"/>
  <c r="Q60"/>
  <c r="P46"/>
  <c r="Q53"/>
  <c r="P64"/>
  <c r="Q21"/>
  <c r="P9"/>
  <c r="Q34"/>
  <c r="Q30"/>
  <c r="Q33"/>
  <c r="J258" i="44"/>
  <c r="Q28" i="48"/>
  <c r="K256" i="44"/>
  <c r="J262"/>
  <c r="K265"/>
  <c r="J268"/>
  <c r="Q42" i="48"/>
  <c r="K270" i="44"/>
  <c r="J269"/>
  <c r="P58" i="48"/>
  <c r="K244" i="44"/>
  <c r="J243"/>
  <c r="Q11" i="48"/>
  <c r="K239" i="44"/>
  <c r="P13" i="48"/>
  <c r="J241" i="44"/>
  <c r="K276"/>
  <c r="P20" i="48"/>
  <c r="J248" i="44"/>
  <c r="P59" i="48"/>
  <c r="Q36"/>
  <c r="K264" i="44"/>
  <c r="P33" i="48"/>
  <c r="J261" i="44"/>
  <c r="P62" i="48"/>
  <c r="M66" i="53"/>
  <c r="P60" i="48"/>
  <c r="P53"/>
  <c r="Q44"/>
  <c r="Q25"/>
  <c r="Q23"/>
  <c r="P21"/>
  <c r="P15"/>
  <c r="P24"/>
  <c r="J252" i="44"/>
  <c r="Q35" i="48"/>
  <c r="K263" i="44"/>
  <c r="P28" i="48"/>
  <c r="J256" i="44"/>
  <c r="Q32" i="48"/>
  <c r="K260" i="44"/>
  <c r="P37" i="48"/>
  <c r="J265" i="44"/>
  <c r="Q43" i="48"/>
  <c r="K271" i="44"/>
  <c r="P42" i="48"/>
  <c r="J270" i="44"/>
  <c r="Q18" i="48"/>
  <c r="K246" i="44"/>
  <c r="J244"/>
  <c r="K273"/>
  <c r="J239"/>
  <c r="K278"/>
  <c r="J276"/>
  <c r="J264"/>
  <c r="K267"/>
  <c r="P44" i="48"/>
  <c r="P25"/>
  <c r="Q10"/>
  <c r="Q17"/>
  <c r="Q58"/>
  <c r="Q65"/>
  <c r="K252" i="44"/>
  <c r="Q38" i="48"/>
  <c r="K266" i="44"/>
  <c r="J263"/>
  <c r="Q29" i="48"/>
  <c r="K257" i="44"/>
  <c r="P32" i="48"/>
  <c r="J260" i="44"/>
  <c r="Q27" i="48"/>
  <c r="K255" i="44"/>
  <c r="P43" i="48"/>
  <c r="J271" i="44"/>
  <c r="Q14" i="48"/>
  <c r="K242" i="44"/>
  <c r="K289"/>
  <c r="P18" i="48"/>
  <c r="J246" i="44"/>
  <c r="K240"/>
  <c r="P45" i="48"/>
  <c r="J273" i="44"/>
  <c r="Q49" i="48"/>
  <c r="K277" i="44"/>
  <c r="P50" i="48"/>
  <c r="J278" i="44"/>
  <c r="Q19" i="48"/>
  <c r="K247" i="44"/>
  <c r="Q22" i="48"/>
  <c r="Q31"/>
  <c r="K259" i="44"/>
  <c r="P39" i="48"/>
  <c r="J267" i="44"/>
  <c r="P17" i="48"/>
  <c r="Q64"/>
  <c r="P10"/>
  <c r="Q9"/>
  <c r="E522" i="44"/>
  <c r="F522"/>
  <c r="E475"/>
  <c r="J483" s="1"/>
  <c r="K499"/>
  <c r="J504"/>
  <c r="K505"/>
  <c r="J505"/>
  <c r="K504"/>
  <c r="J499"/>
  <c r="K489"/>
  <c r="J489"/>
  <c r="J477"/>
  <c r="J467"/>
  <c r="K467"/>
  <c r="K477"/>
  <c r="AY15" i="42"/>
  <c r="S10" i="53" s="1"/>
  <c r="AZ15" i="42"/>
  <c r="T10" i="53" s="1"/>
  <c r="AY34" i="42"/>
  <c r="S29" i="53" s="1"/>
  <c r="AZ34" i="42"/>
  <c r="T29" i="53" s="1"/>
  <c r="AY35" i="42"/>
  <c r="S30" i="53" s="1"/>
  <c r="AZ35" i="42"/>
  <c r="T30" i="53" s="1"/>
  <c r="AY63" i="42"/>
  <c r="S58" i="53" s="1"/>
  <c r="AZ63" i="42"/>
  <c r="T58" i="53" s="1"/>
  <c r="AY64" i="42"/>
  <c r="S59" i="53" s="1"/>
  <c r="AZ64" i="42"/>
  <c r="T59" i="53" s="1"/>
  <c r="AY65" i="42"/>
  <c r="S60" i="53" s="1"/>
  <c r="AZ65" i="42"/>
  <c r="T60" i="53" s="1"/>
  <c r="AY84" i="42"/>
  <c r="S79" i="53" s="1"/>
  <c r="AZ84" i="42"/>
  <c r="T79" i="53" s="1"/>
  <c r="S9"/>
  <c r="T9"/>
  <c r="F532" i="44"/>
  <c r="E532"/>
  <c r="Q23" i="47"/>
  <c r="Q21"/>
  <c r="P21"/>
  <c r="Q9"/>
  <c r="P9"/>
  <c r="P10"/>
  <c r="Q8"/>
  <c r="F525" i="44"/>
  <c r="E525"/>
  <c r="Q44" i="47"/>
  <c r="P44"/>
  <c r="F521" i="44"/>
  <c r="E521"/>
  <c r="F520"/>
  <c r="E520"/>
  <c r="F519"/>
  <c r="E519"/>
  <c r="J517" s="1"/>
  <c r="F518"/>
  <c r="K516" s="1"/>
  <c r="E518"/>
  <c r="J516" s="1"/>
  <c r="Q62" i="47"/>
  <c r="F516" i="44"/>
  <c r="E516"/>
  <c r="F515"/>
  <c r="E515"/>
  <c r="F514"/>
  <c r="E514"/>
  <c r="F513"/>
  <c r="E513"/>
  <c r="Q53" i="47"/>
  <c r="P53"/>
  <c r="Q47"/>
  <c r="P47"/>
  <c r="P17"/>
  <c r="F506" i="44"/>
  <c r="E506"/>
  <c r="F505"/>
  <c r="E505"/>
  <c r="F504"/>
  <c r="E504"/>
  <c r="F503"/>
  <c r="E503"/>
  <c r="J514" s="1"/>
  <c r="Q64" i="47"/>
  <c r="P64"/>
  <c r="Q18"/>
  <c r="Q16"/>
  <c r="P16"/>
  <c r="P15"/>
  <c r="Q45"/>
  <c r="Q11"/>
  <c r="P11"/>
  <c r="P13"/>
  <c r="Q50"/>
  <c r="Q48"/>
  <c r="P48"/>
  <c r="P20"/>
  <c r="F490" i="44"/>
  <c r="E490"/>
  <c r="F489"/>
  <c r="E489"/>
  <c r="F488"/>
  <c r="E488"/>
  <c r="F487"/>
  <c r="E487"/>
  <c r="F486"/>
  <c r="E486"/>
  <c r="F485"/>
  <c r="E485"/>
  <c r="F484"/>
  <c r="E484"/>
  <c r="J512" s="1"/>
  <c r="F483"/>
  <c r="E483"/>
  <c r="Q33" i="47"/>
  <c r="Q31"/>
  <c r="P31"/>
  <c r="P39"/>
  <c r="F477" i="44"/>
  <c r="E477"/>
  <c r="F476"/>
  <c r="K511" s="1"/>
  <c r="E476"/>
  <c r="Q30" i="47"/>
  <c r="P30"/>
  <c r="P38"/>
  <c r="Q28"/>
  <c r="Q34"/>
  <c r="P34"/>
  <c r="P29"/>
  <c r="Q37"/>
  <c r="Q40"/>
  <c r="P40"/>
  <c r="P27"/>
  <c r="Q42"/>
  <c r="E463" i="44"/>
  <c r="J494" s="1"/>
  <c r="J286" l="1"/>
  <c r="K286"/>
  <c r="K512"/>
  <c r="K514"/>
  <c r="J513"/>
  <c r="K517"/>
  <c r="J287"/>
  <c r="K287"/>
  <c r="J289"/>
  <c r="J511"/>
  <c r="K513"/>
  <c r="E501"/>
  <c r="J469" s="1"/>
  <c r="F480"/>
  <c r="K486" s="1"/>
  <c r="F464"/>
  <c r="K495" s="1"/>
  <c r="E467"/>
  <c r="J493" s="1"/>
  <c r="E497"/>
  <c r="J464" s="1"/>
  <c r="F472"/>
  <c r="K481" s="1"/>
  <c r="F502"/>
  <c r="K471" s="1"/>
  <c r="E474"/>
  <c r="J491" s="1"/>
  <c r="E466"/>
  <c r="J480" s="1"/>
  <c r="E479"/>
  <c r="J484" s="1"/>
  <c r="E471"/>
  <c r="J487" s="1"/>
  <c r="F468"/>
  <c r="K490" s="1"/>
  <c r="F494"/>
  <c r="K503" s="1"/>
  <c r="F479"/>
  <c r="K484" s="1"/>
  <c r="F471"/>
  <c r="K487" s="1"/>
  <c r="E478"/>
  <c r="J492" s="1"/>
  <c r="F475"/>
  <c r="K483" s="1"/>
  <c r="E470"/>
  <c r="J482" s="1"/>
  <c r="F467"/>
  <c r="K493" s="1"/>
  <c r="F498"/>
  <c r="K498" s="1"/>
  <c r="E493"/>
  <c r="J501" s="1"/>
  <c r="P32" i="47"/>
  <c r="E469" i="44"/>
  <c r="J485" s="1"/>
  <c r="Q39" i="47"/>
  <c r="F478" i="44"/>
  <c r="K492" s="1"/>
  <c r="Q20" i="47"/>
  <c r="F492" i="44"/>
  <c r="K473" s="1"/>
  <c r="P49" i="47"/>
  <c r="E495" i="44"/>
  <c r="J502" s="1"/>
  <c r="Q13" i="47"/>
  <c r="F496" i="44"/>
  <c r="P12" i="47"/>
  <c r="E499" i="44"/>
  <c r="J465" s="1"/>
  <c r="Q15" i="47"/>
  <c r="F500" i="44"/>
  <c r="K468" s="1"/>
  <c r="Q17" i="47"/>
  <c r="F507" i="44"/>
  <c r="K470" s="1"/>
  <c r="P8" i="47"/>
  <c r="E526" i="44"/>
  <c r="J461" s="1"/>
  <c r="Q10" i="47"/>
  <c r="F527" i="44"/>
  <c r="K463" s="1"/>
  <c r="P42" i="47"/>
  <c r="E464" i="44"/>
  <c r="J495" s="1"/>
  <c r="Q43" i="47"/>
  <c r="F465" i="44"/>
  <c r="K496" s="1"/>
  <c r="P37" i="47"/>
  <c r="E468" i="44"/>
  <c r="J490" s="1"/>
  <c r="Q32" i="47"/>
  <c r="F469" i="44"/>
  <c r="K485" s="1"/>
  <c r="P28" i="47"/>
  <c r="E472" i="44"/>
  <c r="J481" s="1"/>
  <c r="Q35" i="47"/>
  <c r="F473" i="44"/>
  <c r="K488" s="1"/>
  <c r="P33" i="47"/>
  <c r="E480" i="44"/>
  <c r="J486" s="1"/>
  <c r="Q19" i="47"/>
  <c r="F491" i="44"/>
  <c r="K472" s="1"/>
  <c r="P50" i="47"/>
  <c r="E494" i="44"/>
  <c r="J503" s="1"/>
  <c r="Q49" i="47"/>
  <c r="F495" i="44"/>
  <c r="K502" s="1"/>
  <c r="P45" i="47"/>
  <c r="E498" i="44"/>
  <c r="J498" s="1"/>
  <c r="Q12" i="47"/>
  <c r="F499" i="44"/>
  <c r="K465" s="1"/>
  <c r="P18" i="47"/>
  <c r="E502" i="44"/>
  <c r="J471" s="1"/>
  <c r="E509"/>
  <c r="J506" s="1"/>
  <c r="F526"/>
  <c r="K461" s="1"/>
  <c r="Q27" i="47"/>
  <c r="F466" i="44"/>
  <c r="K480" s="1"/>
  <c r="Q38" i="47"/>
  <c r="F474" i="44"/>
  <c r="K491" s="1"/>
  <c r="P19" i="47"/>
  <c r="E491" i="44"/>
  <c r="J472" s="1"/>
  <c r="P62" i="47"/>
  <c r="E517" i="44"/>
  <c r="J515" s="1"/>
  <c r="F530"/>
  <c r="K476" s="1"/>
  <c r="F517"/>
  <c r="K515" s="1"/>
  <c r="P43" i="47"/>
  <c r="E465" i="44"/>
  <c r="J496" s="1"/>
  <c r="Q29" i="47"/>
  <c r="F470" i="44"/>
  <c r="K482" s="1"/>
  <c r="P35" i="47"/>
  <c r="E473" i="44"/>
  <c r="J488" s="1"/>
  <c r="P23" i="47"/>
  <c r="E530" i="44"/>
  <c r="J476" s="1"/>
  <c r="E529"/>
  <c r="J474" s="1"/>
  <c r="P41" i="47"/>
  <c r="F508" i="44"/>
  <c r="K500" s="1"/>
  <c r="E507"/>
  <c r="J470" s="1"/>
  <c r="F528"/>
  <c r="K462" s="1"/>
  <c r="E527"/>
  <c r="J463" s="1"/>
  <c r="F524"/>
  <c r="K497" s="1"/>
  <c r="Q41" i="47"/>
  <c r="F463" i="44"/>
  <c r="K494" s="1"/>
  <c r="F509"/>
  <c r="K506" s="1"/>
  <c r="E508"/>
  <c r="J500" s="1"/>
  <c r="F501"/>
  <c r="K469" s="1"/>
  <c r="E500"/>
  <c r="J468" s="1"/>
  <c r="F497"/>
  <c r="K464" s="1"/>
  <c r="E496"/>
  <c r="F493"/>
  <c r="K501" s="1"/>
  <c r="E492"/>
  <c r="J473" s="1"/>
  <c r="F529"/>
  <c r="K474" s="1"/>
  <c r="E528"/>
  <c r="J462" s="1"/>
  <c r="E524"/>
  <c r="J497" s="1"/>
  <c r="K250"/>
  <c r="J250"/>
  <c r="K475"/>
  <c r="J475"/>
  <c r="Q63" i="47"/>
  <c r="P58"/>
  <c r="P63"/>
  <c r="P22"/>
  <c r="P59"/>
  <c r="Q58"/>
  <c r="Q59"/>
  <c r="Q25"/>
  <c r="Q22"/>
  <c r="P61"/>
  <c r="P60"/>
  <c r="P25"/>
  <c r="Q61"/>
  <c r="Q60"/>
  <c r="P14"/>
  <c r="Q14"/>
  <c r="P107" l="1"/>
  <c r="K466" i="44"/>
  <c r="Q107" i="47"/>
  <c r="J466" i="44"/>
  <c r="K253" l="1"/>
  <c r="J253"/>
  <c r="K478"/>
  <c r="J478"/>
  <c r="J403"/>
  <c r="K403"/>
  <c r="K103"/>
  <c r="J103"/>
  <c r="C27" i="43"/>
  <c r="C29" s="1"/>
  <c r="D27"/>
  <c r="D29" s="1"/>
  <c r="E27"/>
  <c r="E29" s="1"/>
  <c r="F27"/>
  <c r="G27"/>
  <c r="H27"/>
  <c r="H29" s="1"/>
  <c r="I27"/>
  <c r="I29" s="1"/>
  <c r="F29" l="1"/>
  <c r="E381" i="44" s="1"/>
  <c r="J368" s="1"/>
  <c r="G29" i="43"/>
  <c r="E81" i="44"/>
  <c r="J68" s="1"/>
  <c r="F81"/>
  <c r="K68" s="1"/>
  <c r="E156"/>
  <c r="J143" s="1"/>
  <c r="F156"/>
  <c r="K143" s="1"/>
  <c r="F306"/>
  <c r="K293" s="1"/>
  <c r="E306"/>
  <c r="J293" s="1"/>
  <c r="F381"/>
  <c r="K368" s="1"/>
  <c r="F531"/>
  <c r="K518" s="1"/>
  <c r="E531"/>
  <c r="J518" s="1"/>
  <c r="F231"/>
  <c r="K218" s="1"/>
  <c r="E231"/>
  <c r="J218" s="1"/>
  <c r="K79" i="29"/>
  <c r="L79"/>
  <c r="F77" i="45" l="1"/>
  <c r="K78" i="29"/>
  <c r="L78"/>
  <c r="K73"/>
  <c r="L73"/>
  <c r="K74"/>
  <c r="L74"/>
  <c r="K75"/>
  <c r="L75"/>
  <c r="K76"/>
  <c r="L76"/>
  <c r="K77"/>
  <c r="L77"/>
  <c r="K64"/>
  <c r="L64"/>
  <c r="K65"/>
  <c r="L65"/>
  <c r="K66"/>
  <c r="L66"/>
  <c r="K67"/>
  <c r="L67"/>
  <c r="K68"/>
  <c r="P25" s="1"/>
  <c r="L68"/>
  <c r="K69"/>
  <c r="L69"/>
  <c r="K70"/>
  <c r="L70"/>
  <c r="K71"/>
  <c r="L71"/>
  <c r="K72"/>
  <c r="L72"/>
  <c r="K54"/>
  <c r="L54"/>
  <c r="K55"/>
  <c r="L55"/>
  <c r="K56"/>
  <c r="L56"/>
  <c r="K57"/>
  <c r="L57"/>
  <c r="K58"/>
  <c r="L58"/>
  <c r="K59"/>
  <c r="L59"/>
  <c r="K60"/>
  <c r="L60"/>
  <c r="K61"/>
  <c r="L61"/>
  <c r="K62"/>
  <c r="L62"/>
  <c r="K63"/>
  <c r="L63"/>
  <c r="K53"/>
  <c r="L53"/>
  <c r="K41"/>
  <c r="L41"/>
  <c r="K42"/>
  <c r="L42"/>
  <c r="K43"/>
  <c r="L43"/>
  <c r="K44"/>
  <c r="L44"/>
  <c r="K45"/>
  <c r="L45"/>
  <c r="K46"/>
  <c r="L46"/>
  <c r="K47"/>
  <c r="L47"/>
  <c r="K48"/>
  <c r="L48"/>
  <c r="K49"/>
  <c r="L49"/>
  <c r="K50"/>
  <c r="P61" s="1"/>
  <c r="L50"/>
  <c r="K51"/>
  <c r="L51"/>
  <c r="K39"/>
  <c r="L39"/>
  <c r="K40"/>
  <c r="L40"/>
  <c r="K38"/>
  <c r="L38"/>
  <c r="K9"/>
  <c r="L9"/>
  <c r="K10"/>
  <c r="L10"/>
  <c r="K11"/>
  <c r="L11"/>
  <c r="K12"/>
  <c r="L12"/>
  <c r="K13"/>
  <c r="L13"/>
  <c r="K14"/>
  <c r="L14"/>
  <c r="K15"/>
  <c r="L15"/>
  <c r="K16"/>
  <c r="L16"/>
  <c r="K17"/>
  <c r="L17"/>
  <c r="K18"/>
  <c r="L18"/>
  <c r="K19"/>
  <c r="L19"/>
  <c r="K20"/>
  <c r="L20"/>
  <c r="K21"/>
  <c r="L21"/>
  <c r="K22"/>
  <c r="L22"/>
  <c r="K23"/>
  <c r="L23"/>
  <c r="K24"/>
  <c r="L24"/>
  <c r="K25"/>
  <c r="L25"/>
  <c r="K26"/>
  <c r="L26"/>
  <c r="K27"/>
  <c r="L27"/>
  <c r="K28"/>
  <c r="L28"/>
  <c r="K29"/>
  <c r="L29"/>
  <c r="K30"/>
  <c r="L30"/>
  <c r="K31"/>
  <c r="L31"/>
  <c r="K32"/>
  <c r="L32"/>
  <c r="K33"/>
  <c r="L33"/>
  <c r="K34"/>
  <c r="L34"/>
  <c r="K35"/>
  <c r="L35"/>
  <c r="K36"/>
  <c r="L36"/>
  <c r="K37"/>
  <c r="L37"/>
  <c r="K8"/>
  <c r="L8"/>
  <c r="E77" i="45" l="1"/>
  <c r="Q22" i="29"/>
  <c r="Q60"/>
  <c r="P64"/>
  <c r="P22"/>
  <c r="Q61"/>
  <c r="P59"/>
  <c r="Q58"/>
  <c r="Q59"/>
  <c r="P58"/>
  <c r="P60"/>
  <c r="Q64"/>
  <c r="Q25"/>
  <c r="AU58" i="42"/>
  <c r="O53" i="53" s="1"/>
  <c r="BA7" i="42"/>
  <c r="BA14" s="1"/>
  <c r="AY7"/>
  <c r="AW7"/>
  <c r="AU7"/>
  <c r="AS7"/>
  <c r="AQ7"/>
  <c r="AO7"/>
  <c r="AM7"/>
  <c r="AM14" s="1"/>
  <c r="AO18" l="1"/>
  <c r="I13" i="53" s="1"/>
  <c r="AO22" i="42"/>
  <c r="I17" i="53" s="1"/>
  <c r="AO26" i="42"/>
  <c r="I21" i="53" s="1"/>
  <c r="AO30" i="42"/>
  <c r="I25" i="53" s="1"/>
  <c r="AO34" i="42"/>
  <c r="I29" i="53" s="1"/>
  <c r="AO38" i="42"/>
  <c r="I33" i="53" s="1"/>
  <c r="AO42" i="42"/>
  <c r="I37" i="53" s="1"/>
  <c r="AO46" i="42"/>
  <c r="I41" i="53" s="1"/>
  <c r="AO50" i="42"/>
  <c r="I45" i="53" s="1"/>
  <c r="AO54" i="42"/>
  <c r="I49" i="53" s="1"/>
  <c r="AO58" i="42"/>
  <c r="I53" i="53" s="1"/>
  <c r="AO62" i="42"/>
  <c r="I57" i="53" s="1"/>
  <c r="AO66" i="42"/>
  <c r="I61" i="53" s="1"/>
  <c r="AO70" i="42"/>
  <c r="I65" i="53" s="1"/>
  <c r="AO74" i="42"/>
  <c r="I69" i="53" s="1"/>
  <c r="AO78" i="42"/>
  <c r="I73" i="53" s="1"/>
  <c r="AO82" i="42"/>
  <c r="I77" i="53" s="1"/>
  <c r="AO15" i="42"/>
  <c r="I10" i="53" s="1"/>
  <c r="AO23" i="42"/>
  <c r="I18" i="53" s="1"/>
  <c r="AO27" i="42"/>
  <c r="I22" i="53" s="1"/>
  <c r="AO35" i="42"/>
  <c r="I30" i="53" s="1"/>
  <c r="AO39" i="42"/>
  <c r="I34" i="53" s="1"/>
  <c r="AO47" i="42"/>
  <c r="I42" i="53" s="1"/>
  <c r="AO51" i="42"/>
  <c r="I46" i="53" s="1"/>
  <c r="AO59" i="42"/>
  <c r="I54" i="53" s="1"/>
  <c r="AO63" i="42"/>
  <c r="I58" i="53" s="1"/>
  <c r="AO71" i="42"/>
  <c r="I66" i="53" s="1"/>
  <c r="AO79" i="42"/>
  <c r="I74" i="53" s="1"/>
  <c r="AO83" i="42"/>
  <c r="I78" i="53" s="1"/>
  <c r="AO14" i="42"/>
  <c r="I9" i="53" s="1"/>
  <c r="AO19" i="42"/>
  <c r="I14" i="53" s="1"/>
  <c r="AO31" i="42"/>
  <c r="I26" i="53" s="1"/>
  <c r="AO43" i="42"/>
  <c r="I38" i="53" s="1"/>
  <c r="AO55" i="42"/>
  <c r="I50" i="53" s="1"/>
  <c r="AO67" i="42"/>
  <c r="I62" i="53" s="1"/>
  <c r="AO75" i="42"/>
  <c r="I70" i="53" s="1"/>
  <c r="AO16" i="42"/>
  <c r="I11" i="53" s="1"/>
  <c r="AO20" i="42"/>
  <c r="I15" i="53" s="1"/>
  <c r="AO24" i="42"/>
  <c r="I19" i="53" s="1"/>
  <c r="AO28" i="42"/>
  <c r="I23" i="53" s="1"/>
  <c r="AO32" i="42"/>
  <c r="I27" i="53" s="1"/>
  <c r="AO29" i="42"/>
  <c r="I24" i="53" s="1"/>
  <c r="AO40" i="42"/>
  <c r="I35" i="53" s="1"/>
  <c r="AO48" i="42"/>
  <c r="I43" i="53" s="1"/>
  <c r="AO56" i="42"/>
  <c r="I51" i="53" s="1"/>
  <c r="AO64" i="42"/>
  <c r="I59" i="53" s="1"/>
  <c r="AO72" i="42"/>
  <c r="I67" i="53" s="1"/>
  <c r="AO80" i="42"/>
  <c r="I75" i="53" s="1"/>
  <c r="AO37" i="42"/>
  <c r="I32" i="53" s="1"/>
  <c r="AO45" i="42"/>
  <c r="I40" i="53" s="1"/>
  <c r="AO69" i="42"/>
  <c r="I64" i="53" s="1"/>
  <c r="AO17" i="42"/>
  <c r="I12" i="53" s="1"/>
  <c r="AO33" i="42"/>
  <c r="I28" i="53" s="1"/>
  <c r="AO41" i="42"/>
  <c r="I36" i="53" s="1"/>
  <c r="AO49" i="42"/>
  <c r="I44" i="53" s="1"/>
  <c r="AO57" i="42"/>
  <c r="I52" i="53" s="1"/>
  <c r="AO65" i="42"/>
  <c r="I60" i="53" s="1"/>
  <c r="AO73" i="42"/>
  <c r="I68" i="53" s="1"/>
  <c r="AO81" i="42"/>
  <c r="I76" i="53" s="1"/>
  <c r="AO25" i="42"/>
  <c r="I20" i="53" s="1"/>
  <c r="AO61" i="42"/>
  <c r="I56" i="53" s="1"/>
  <c r="AO85" i="42"/>
  <c r="I80" i="53" s="1"/>
  <c r="AO21" i="42"/>
  <c r="I16" i="53" s="1"/>
  <c r="AO36" i="42"/>
  <c r="I31" i="53" s="1"/>
  <c r="AO44" i="42"/>
  <c r="I39" i="53" s="1"/>
  <c r="AO52" i="42"/>
  <c r="I47" i="53" s="1"/>
  <c r="AO60" i="42"/>
  <c r="I55" i="53" s="1"/>
  <c r="AO68" i="42"/>
  <c r="I63" i="53" s="1"/>
  <c r="AO76" i="42"/>
  <c r="I71" i="53" s="1"/>
  <c r="AO84" i="42"/>
  <c r="I79" i="53" s="1"/>
  <c r="AO53" i="42"/>
  <c r="I48" i="53" s="1"/>
  <c r="AO77" i="42"/>
  <c r="I72" i="53" s="1"/>
  <c r="G9"/>
  <c r="BA15" i="42"/>
  <c r="U10" i="53" s="1"/>
  <c r="BA17" i="42"/>
  <c r="U12" i="53" s="1"/>
  <c r="BA19" i="42"/>
  <c r="U14" i="53" s="1"/>
  <c r="BA21" i="42"/>
  <c r="U16" i="53" s="1"/>
  <c r="BA23" i="42"/>
  <c r="U18" i="53" s="1"/>
  <c r="BA25" i="42"/>
  <c r="U20" i="53" s="1"/>
  <c r="BA27" i="42"/>
  <c r="U22" i="53" s="1"/>
  <c r="BA29" i="42"/>
  <c r="U24" i="53" s="1"/>
  <c r="BA31" i="42"/>
  <c r="U26" i="53" s="1"/>
  <c r="BA33" i="42"/>
  <c r="U28" i="53" s="1"/>
  <c r="BA35" i="42"/>
  <c r="U30" i="53" s="1"/>
  <c r="BA37" i="42"/>
  <c r="U32" i="53" s="1"/>
  <c r="BA39" i="42"/>
  <c r="U34" i="53" s="1"/>
  <c r="BA41" i="42"/>
  <c r="U36" i="53" s="1"/>
  <c r="BA43" i="42"/>
  <c r="U38" i="53" s="1"/>
  <c r="BA45" i="42"/>
  <c r="U40" i="53" s="1"/>
  <c r="BA47" i="42"/>
  <c r="U42" i="53" s="1"/>
  <c r="BA49" i="42"/>
  <c r="U44" i="53" s="1"/>
  <c r="BA51" i="42"/>
  <c r="U46" i="53" s="1"/>
  <c r="BA53" i="42"/>
  <c r="U48" i="53" s="1"/>
  <c r="BA55" i="42"/>
  <c r="U50" i="53" s="1"/>
  <c r="BA57" i="42"/>
  <c r="U52" i="53" s="1"/>
  <c r="BA59" i="42"/>
  <c r="U54" i="53" s="1"/>
  <c r="BA61" i="42"/>
  <c r="U56" i="53" s="1"/>
  <c r="BA63" i="42"/>
  <c r="U58" i="53" s="1"/>
  <c r="BA65" i="42"/>
  <c r="U60" i="53" s="1"/>
  <c r="BA67" i="42"/>
  <c r="U62" i="53" s="1"/>
  <c r="BA69" i="42"/>
  <c r="U64" i="53" s="1"/>
  <c r="BA71" i="42"/>
  <c r="U66" i="53" s="1"/>
  <c r="BA73" i="42"/>
  <c r="U68" i="53" s="1"/>
  <c r="BA75" i="42"/>
  <c r="U70" i="53" s="1"/>
  <c r="BA77" i="42"/>
  <c r="U72" i="53" s="1"/>
  <c r="BA79" i="42"/>
  <c r="U74" i="53" s="1"/>
  <c r="BA81" i="42"/>
  <c r="U76" i="53" s="1"/>
  <c r="BA83" i="42"/>
  <c r="U78" i="53" s="1"/>
  <c r="BA85" i="42"/>
  <c r="U80" i="53" s="1"/>
  <c r="U9"/>
  <c r="BA16" i="42"/>
  <c r="U11" i="53" s="1"/>
  <c r="BA18" i="42"/>
  <c r="U13" i="53" s="1"/>
  <c r="BA20" i="42"/>
  <c r="U15" i="53" s="1"/>
  <c r="BA22" i="42"/>
  <c r="U17" i="53" s="1"/>
  <c r="BA24" i="42"/>
  <c r="U19" i="53" s="1"/>
  <c r="BA26" i="42"/>
  <c r="U21" i="53" s="1"/>
  <c r="BA28" i="42"/>
  <c r="U23" i="53" s="1"/>
  <c r="BA30" i="42"/>
  <c r="U25" i="53" s="1"/>
  <c r="BA32" i="42"/>
  <c r="U27" i="53" s="1"/>
  <c r="BA34" i="42"/>
  <c r="U29" i="53" s="1"/>
  <c r="BA36" i="42"/>
  <c r="U31" i="53" s="1"/>
  <c r="BA38" i="42"/>
  <c r="U33" i="53" s="1"/>
  <c r="BA40" i="42"/>
  <c r="U35" i="53" s="1"/>
  <c r="BA42" i="42"/>
  <c r="U37" i="53" s="1"/>
  <c r="BA44" i="42"/>
  <c r="U39" i="53" s="1"/>
  <c r="BA46" i="42"/>
  <c r="U41" i="53" s="1"/>
  <c r="BA48" i="42"/>
  <c r="U43" i="53" s="1"/>
  <c r="BA50" i="42"/>
  <c r="U45" i="53" s="1"/>
  <c r="BA52" i="42"/>
  <c r="U47" i="53" s="1"/>
  <c r="BA54" i="42"/>
  <c r="U49" i="53" s="1"/>
  <c r="BA56" i="42"/>
  <c r="U51" i="53" s="1"/>
  <c r="BA58" i="42"/>
  <c r="U53" i="53" s="1"/>
  <c r="BA60" i="42"/>
  <c r="U55" i="53" s="1"/>
  <c r="BA62" i="42"/>
  <c r="U57" i="53" s="1"/>
  <c r="BA64" i="42"/>
  <c r="U59" i="53" s="1"/>
  <c r="BA66" i="42"/>
  <c r="U61" i="53" s="1"/>
  <c r="BA68" i="42"/>
  <c r="U63" i="53" s="1"/>
  <c r="BA70" i="42"/>
  <c r="U65" i="53" s="1"/>
  <c r="BA72" i="42"/>
  <c r="U67" i="53" s="1"/>
  <c r="BA74" i="42"/>
  <c r="U69" i="53" s="1"/>
  <c r="BA76" i="42"/>
  <c r="U71" i="53" s="1"/>
  <c r="BA78" i="42"/>
  <c r="U73" i="53" s="1"/>
  <c r="BA80" i="42"/>
  <c r="U75" i="53" s="1"/>
  <c r="BA82" i="42"/>
  <c r="U77" i="53" s="1"/>
  <c r="BA84" i="42"/>
  <c r="U79" i="53" s="1"/>
  <c r="M79"/>
  <c r="AS19" i="42"/>
  <c r="M14" i="53" s="1"/>
  <c r="AS15" i="42"/>
  <c r="M10" i="53" s="1"/>
  <c r="M71"/>
  <c r="AS20" i="42"/>
  <c r="M15" i="53" s="1"/>
  <c r="AS37" i="42"/>
  <c r="M32" i="53" s="1"/>
  <c r="AS33" i="42"/>
  <c r="M28" i="53" s="1"/>
  <c r="M62"/>
  <c r="M78"/>
  <c r="AS25" i="42"/>
  <c r="M20" i="53" s="1"/>
  <c r="AS21" i="42"/>
  <c r="M16" i="53" s="1"/>
  <c r="M54"/>
  <c r="AS46" i="42"/>
  <c r="M41" i="53" s="1"/>
  <c r="AS38" i="42"/>
  <c r="M33" i="53" s="1"/>
  <c r="M63"/>
  <c r="M59"/>
  <c r="M69"/>
  <c r="AS31" i="42"/>
  <c r="M26" i="53" s="1"/>
  <c r="M64"/>
  <c r="M60"/>
  <c r="M80"/>
  <c r="AS27" i="42"/>
  <c r="M22" i="53" s="1"/>
  <c r="AS23" i="42"/>
  <c r="M18" i="53" s="1"/>
  <c r="AS56" i="42"/>
  <c r="M51" i="53" s="1"/>
  <c r="AS32" i="42"/>
  <c r="M27" i="53" s="1"/>
  <c r="M61"/>
  <c r="M68"/>
  <c r="AS53" i="42"/>
  <c r="M48" i="53" s="1"/>
  <c r="AS41" i="42"/>
  <c r="M36" i="53" s="1"/>
  <c r="M58"/>
  <c r="AS50" i="42"/>
  <c r="M45" i="53" s="1"/>
  <c r="M75"/>
  <c r="AS26" i="42"/>
  <c r="M21" i="53" s="1"/>
  <c r="AS39" i="42"/>
  <c r="M34" i="53" s="1"/>
  <c r="M70"/>
  <c r="M76"/>
  <c r="AS52" i="42"/>
  <c r="M47" i="53" s="1"/>
  <c r="AS48" i="42"/>
  <c r="M43" i="53" s="1"/>
  <c r="AS36" i="42"/>
  <c r="M31" i="53" s="1"/>
  <c r="AS24" i="42"/>
  <c r="M19" i="53" s="1"/>
  <c r="AS49" i="42"/>
  <c r="M44" i="53" s="1"/>
  <c r="AS45" i="42"/>
  <c r="M40" i="53" s="1"/>
  <c r="AS17" i="42"/>
  <c r="M12" i="53" s="1"/>
  <c r="AS54" i="42"/>
  <c r="M49" i="53" s="1"/>
  <c r="AS42" i="42"/>
  <c r="M37" i="53" s="1"/>
  <c r="M73"/>
  <c r="AS22" i="42"/>
  <c r="M17" i="53" s="1"/>
  <c r="AS55" i="42"/>
  <c r="M50" i="53" s="1"/>
  <c r="AS51" i="42"/>
  <c r="M46" i="53" s="1"/>
  <c r="AS47" i="42"/>
  <c r="M42" i="53" s="1"/>
  <c r="AS43" i="42"/>
  <c r="M38" i="53" s="1"/>
  <c r="M56"/>
  <c r="AS44" i="42"/>
  <c r="M39" i="53" s="1"/>
  <c r="AS40" i="42"/>
  <c r="M35" i="53" s="1"/>
  <c r="M11"/>
  <c r="AS30" i="42"/>
  <c r="M25" i="53" s="1"/>
  <c r="M9"/>
  <c r="AS34" i="42"/>
  <c r="M29" i="53" s="1"/>
  <c r="M57"/>
  <c r="M77"/>
  <c r="AS28" i="42"/>
  <c r="M23" i="53" s="1"/>
  <c r="M55"/>
  <c r="AS18" i="42"/>
  <c r="M13" i="53" s="1"/>
  <c r="AS35" i="42"/>
  <c r="M30" i="53" s="1"/>
  <c r="M65"/>
  <c r="AS57" i="42"/>
  <c r="M52" i="53" s="1"/>
  <c r="M72"/>
  <c r="AY17" i="42"/>
  <c r="S12" i="53" s="1"/>
  <c r="AY21" i="42"/>
  <c r="S16" i="53" s="1"/>
  <c r="AY25" i="42"/>
  <c r="S20" i="53" s="1"/>
  <c r="AY29" i="42"/>
  <c r="S24" i="53" s="1"/>
  <c r="AY33" i="42"/>
  <c r="S28" i="53" s="1"/>
  <c r="AY37" i="42"/>
  <c r="S32" i="53" s="1"/>
  <c r="AY41" i="42"/>
  <c r="S36" i="53" s="1"/>
  <c r="AY45" i="42"/>
  <c r="S40" i="53" s="1"/>
  <c r="AY49" i="42"/>
  <c r="S44" i="53" s="1"/>
  <c r="AY53" i="42"/>
  <c r="S48" i="53" s="1"/>
  <c r="AY57" i="42"/>
  <c r="S52" i="53" s="1"/>
  <c r="AY61" i="42"/>
  <c r="S56" i="53" s="1"/>
  <c r="AY16" i="42"/>
  <c r="S11" i="53" s="1"/>
  <c r="AY20" i="42"/>
  <c r="S15" i="53" s="1"/>
  <c r="AY24" i="42"/>
  <c r="S19" i="53" s="1"/>
  <c r="AY28" i="42"/>
  <c r="S23" i="53" s="1"/>
  <c r="AY32" i="42"/>
  <c r="S27" i="53" s="1"/>
  <c r="AY36" i="42"/>
  <c r="S31" i="53" s="1"/>
  <c r="AY40" i="42"/>
  <c r="S35" i="53" s="1"/>
  <c r="AY44" i="42"/>
  <c r="S39" i="53" s="1"/>
  <c r="AY48" i="42"/>
  <c r="S43" i="53" s="1"/>
  <c r="AY52" i="42"/>
  <c r="S47" i="53" s="1"/>
  <c r="AY56" i="42"/>
  <c r="S51" i="53" s="1"/>
  <c r="AY60" i="42"/>
  <c r="S55" i="53" s="1"/>
  <c r="AY19" i="42"/>
  <c r="S14" i="53" s="1"/>
  <c r="AY23" i="42"/>
  <c r="S18" i="53" s="1"/>
  <c r="AY27" i="42"/>
  <c r="S22" i="53" s="1"/>
  <c r="AY31" i="42"/>
  <c r="S26" i="53" s="1"/>
  <c r="AY39" i="42"/>
  <c r="S34" i="53" s="1"/>
  <c r="AY43" i="42"/>
  <c r="S38" i="53" s="1"/>
  <c r="AY47" i="42"/>
  <c r="S42" i="53" s="1"/>
  <c r="AY51" i="42"/>
  <c r="S46" i="53" s="1"/>
  <c r="AY55" i="42"/>
  <c r="S50" i="53" s="1"/>
  <c r="AY59" i="42"/>
  <c r="S54" i="53" s="1"/>
  <c r="AY67" i="42"/>
  <c r="S62" i="53" s="1"/>
  <c r="AY71" i="42"/>
  <c r="S66" i="53" s="1"/>
  <c r="AY75" i="42"/>
  <c r="S70" i="53" s="1"/>
  <c r="AY79" i="42"/>
  <c r="S74" i="53" s="1"/>
  <c r="AY83" i="42"/>
  <c r="S78" i="53" s="1"/>
  <c r="AY18" i="42"/>
  <c r="S13" i="53" s="1"/>
  <c r="AY50" i="42"/>
  <c r="S45" i="53" s="1"/>
  <c r="AY70" i="42"/>
  <c r="S65" i="53" s="1"/>
  <c r="AY30" i="42"/>
  <c r="S25" i="53" s="1"/>
  <c r="AY46" i="42"/>
  <c r="S41" i="53" s="1"/>
  <c r="AY62" i="42"/>
  <c r="S57" i="53" s="1"/>
  <c r="AY72" i="42"/>
  <c r="S67" i="53" s="1"/>
  <c r="AY74" i="42"/>
  <c r="S69" i="53" s="1"/>
  <c r="AY81" i="42"/>
  <c r="S76" i="53" s="1"/>
  <c r="AY26" i="42"/>
  <c r="S21" i="53" s="1"/>
  <c r="AY42" i="42"/>
  <c r="S37" i="53" s="1"/>
  <c r="AY58" i="42"/>
  <c r="S53" i="53" s="1"/>
  <c r="AY69" i="42"/>
  <c r="S64" i="53" s="1"/>
  <c r="AY76" i="42"/>
  <c r="S71" i="53" s="1"/>
  <c r="AY78" i="42"/>
  <c r="S73" i="53" s="1"/>
  <c r="AY22" i="42"/>
  <c r="S17" i="53" s="1"/>
  <c r="AY38" i="42"/>
  <c r="S33" i="53" s="1"/>
  <c r="AY54" i="42"/>
  <c r="S49" i="53" s="1"/>
  <c r="AY66" i="42"/>
  <c r="S61" i="53" s="1"/>
  <c r="AY73" i="42"/>
  <c r="S68" i="53" s="1"/>
  <c r="AY80" i="42"/>
  <c r="S75" i="53" s="1"/>
  <c r="AY82" i="42"/>
  <c r="S77" i="53" s="1"/>
  <c r="AY85" i="42"/>
  <c r="S80" i="53" s="1"/>
  <c r="AY68" i="42"/>
  <c r="S63" i="53" s="1"/>
  <c r="AY77" i="42"/>
  <c r="S72" i="53" s="1"/>
  <c r="B15" i="43"/>
  <c r="B16" s="1"/>
  <c r="B17" s="1"/>
  <c r="BB7" i="42"/>
  <c r="BB14" s="1"/>
  <c r="AZ7"/>
  <c r="AX7"/>
  <c r="AV7"/>
  <c r="AT7"/>
  <c r="AR7"/>
  <c r="AR14" s="1"/>
  <c r="AP7"/>
  <c r="AN7"/>
  <c r="AT57" l="1"/>
  <c r="AT59"/>
  <c r="AT65"/>
  <c r="AT69"/>
  <c r="N64" i="53" s="1"/>
  <c r="AT73" i="42"/>
  <c r="AT75"/>
  <c r="AT79"/>
  <c r="N74" i="53" s="1"/>
  <c r="AT83" i="42"/>
  <c r="N78" i="53" s="1"/>
  <c r="AT58" i="42"/>
  <c r="N53" i="53" s="1"/>
  <c r="AT60" i="42"/>
  <c r="AT62"/>
  <c r="AT64"/>
  <c r="N59" i="53" s="1"/>
  <c r="AT66" i="42"/>
  <c r="AT68"/>
  <c r="AT70"/>
  <c r="N65" i="53" s="1"/>
  <c r="AT72" i="42"/>
  <c r="N67" i="53" s="1"/>
  <c r="AT74" i="42"/>
  <c r="AT76"/>
  <c r="AT80"/>
  <c r="AT82"/>
  <c r="AT84"/>
  <c r="AT61"/>
  <c r="AT63"/>
  <c r="AT67"/>
  <c r="N62" i="53" s="1"/>
  <c r="AT77" i="42"/>
  <c r="AT81"/>
  <c r="AT85"/>
  <c r="N80" i="53" s="1"/>
  <c r="AV56" i="42"/>
  <c r="P51" i="53" s="1"/>
  <c r="AV57" i="42"/>
  <c r="P52" i="53" s="1"/>
  <c r="AV58" i="42"/>
  <c r="AV59"/>
  <c r="AP14"/>
  <c r="AP16"/>
  <c r="J11" i="53" s="1"/>
  <c r="AP21" i="42"/>
  <c r="J16" i="53" s="1"/>
  <c r="AP25" i="42"/>
  <c r="J20" i="53" s="1"/>
  <c r="AP29" i="42"/>
  <c r="J24" i="53" s="1"/>
  <c r="AP33" i="42"/>
  <c r="AP37"/>
  <c r="J32" i="53" s="1"/>
  <c r="AP41" i="42"/>
  <c r="J36" i="53" s="1"/>
  <c r="AP45" i="42"/>
  <c r="J40" i="53" s="1"/>
  <c r="AP49" i="42"/>
  <c r="J44" i="53" s="1"/>
  <c r="AP53" i="42"/>
  <c r="J48" i="53" s="1"/>
  <c r="AP57" i="42"/>
  <c r="J52" i="53" s="1"/>
  <c r="AP61" i="42"/>
  <c r="J56" i="53" s="1"/>
  <c r="AP65" i="42"/>
  <c r="J60" i="53" s="1"/>
  <c r="AP69" i="42"/>
  <c r="J64" i="53" s="1"/>
  <c r="AP73" i="42"/>
  <c r="J68" i="53" s="1"/>
  <c r="AP77" i="42"/>
  <c r="J72" i="53" s="1"/>
  <c r="AP81" i="42"/>
  <c r="J76" i="53" s="1"/>
  <c r="AP85" i="42"/>
  <c r="J80" i="53" s="1"/>
  <c r="AP38" i="42"/>
  <c r="J33" i="53" s="1"/>
  <c r="AP50" i="42"/>
  <c r="J45" i="53" s="1"/>
  <c r="AP58" i="42"/>
  <c r="J53" i="53" s="1"/>
  <c r="AP62" i="42"/>
  <c r="J57" i="53" s="1"/>
  <c r="AP70" i="42"/>
  <c r="J65" i="53" s="1"/>
  <c r="AP74" i="42"/>
  <c r="J69" i="53" s="1"/>
  <c r="AP82" i="42"/>
  <c r="J77" i="53" s="1"/>
  <c r="AP18" i="42"/>
  <c r="J13" i="53" s="1"/>
  <c r="AP22" i="42"/>
  <c r="J17" i="53" s="1"/>
  <c r="AP26" i="42"/>
  <c r="J21" i="53" s="1"/>
  <c r="AP30" i="42"/>
  <c r="J25" i="53" s="1"/>
  <c r="AP34" i="42"/>
  <c r="J29" i="53" s="1"/>
  <c r="AP42" i="42"/>
  <c r="J37" i="53" s="1"/>
  <c r="AP46" i="42"/>
  <c r="J41" i="53" s="1"/>
  <c r="AP54" i="42"/>
  <c r="J49" i="53" s="1"/>
  <c r="AP66" i="42"/>
  <c r="J61" i="53" s="1"/>
  <c r="AP78" i="42"/>
  <c r="J73" i="53" s="1"/>
  <c r="AP17" i="42"/>
  <c r="J12" i="53" s="1"/>
  <c r="AP19" i="42"/>
  <c r="J14" i="53" s="1"/>
  <c r="AP23" i="42"/>
  <c r="J18" i="53" s="1"/>
  <c r="AP27" i="42"/>
  <c r="J22" i="53" s="1"/>
  <c r="AP31" i="42"/>
  <c r="J26" i="53" s="1"/>
  <c r="AP35" i="42"/>
  <c r="J30" i="53" s="1"/>
  <c r="AP39" i="42"/>
  <c r="J34" i="53" s="1"/>
  <c r="AP43" i="42"/>
  <c r="J38" i="53" s="1"/>
  <c r="AP47" i="42"/>
  <c r="J42" i="53" s="1"/>
  <c r="AP51" i="42"/>
  <c r="J46" i="53" s="1"/>
  <c r="AP55" i="42"/>
  <c r="J50" i="53" s="1"/>
  <c r="AP59" i="42"/>
  <c r="J54" i="53" s="1"/>
  <c r="AP63" i="42"/>
  <c r="J58" i="53" s="1"/>
  <c r="AP67" i="42"/>
  <c r="J62" i="53" s="1"/>
  <c r="AP71" i="42"/>
  <c r="J66" i="53" s="1"/>
  <c r="AP75" i="42"/>
  <c r="J70" i="53" s="1"/>
  <c r="AP79" i="42"/>
  <c r="J74" i="53" s="1"/>
  <c r="AP83" i="42"/>
  <c r="J78" i="53" s="1"/>
  <c r="AP20" i="42"/>
  <c r="J15" i="53" s="1"/>
  <c r="AP36" i="42"/>
  <c r="J31" i="53" s="1"/>
  <c r="AP52" i="42"/>
  <c r="J47" i="53" s="1"/>
  <c r="AP68" i="42"/>
  <c r="J63" i="53" s="1"/>
  <c r="AP84" i="42"/>
  <c r="J79" i="53" s="1"/>
  <c r="AP15" i="42"/>
  <c r="J10" i="53" s="1"/>
  <c r="AP64" i="42"/>
  <c r="AP24"/>
  <c r="AP40"/>
  <c r="J35" i="53" s="1"/>
  <c r="AP56" i="42"/>
  <c r="J51" i="53" s="1"/>
  <c r="AP72" i="42"/>
  <c r="J67" i="53" s="1"/>
  <c r="AP32" i="42"/>
  <c r="J27" i="53" s="1"/>
  <c r="AP28" i="42"/>
  <c r="J23" i="53" s="1"/>
  <c r="AP44" i="42"/>
  <c r="J39" i="53" s="1"/>
  <c r="AP60" i="42"/>
  <c r="J55" i="53" s="1"/>
  <c r="AP76" i="42"/>
  <c r="J71" i="53" s="1"/>
  <c r="AP48" i="42"/>
  <c r="J43" i="53" s="1"/>
  <c r="AP80" i="42"/>
  <c r="J75" i="53" s="1"/>
  <c r="AX17" i="42"/>
  <c r="R12" i="53" s="1"/>
  <c r="AX21" i="42"/>
  <c r="R16" i="53" s="1"/>
  <c r="AX37" i="42"/>
  <c r="R32" i="53" s="1"/>
  <c r="AX53" i="42"/>
  <c r="R48" i="53" s="1"/>
  <c r="AX77" i="42"/>
  <c r="R72" i="53" s="1"/>
  <c r="AX18" i="42"/>
  <c r="R13" i="53" s="1"/>
  <c r="AX54" i="42"/>
  <c r="R49" i="53" s="1"/>
  <c r="AX62" i="42"/>
  <c r="R57" i="53" s="1"/>
  <c r="AX70" i="42"/>
  <c r="R65" i="53" s="1"/>
  <c r="AX82" i="42"/>
  <c r="R77" i="53" s="1"/>
  <c r="AX31" i="42"/>
  <c r="R26" i="53" s="1"/>
  <c r="AX43" i="42"/>
  <c r="R38" i="53" s="1"/>
  <c r="AX47" i="42"/>
  <c r="R42" i="53" s="1"/>
  <c r="AX55" i="42"/>
  <c r="AX67"/>
  <c r="R62" i="53" s="1"/>
  <c r="AX71" i="42"/>
  <c r="R66" i="53" s="1"/>
  <c r="AX79" i="42"/>
  <c r="R74" i="53" s="1"/>
  <c r="AX83" i="42"/>
  <c r="R78" i="53" s="1"/>
  <c r="AX32" i="42"/>
  <c r="R27" i="53" s="1"/>
  <c r="AX68" i="42"/>
  <c r="R63" i="53" s="1"/>
  <c r="AX80" i="42"/>
  <c r="R75" i="53" s="1"/>
  <c r="AX24" i="42"/>
  <c r="R19" i="53" s="1"/>
  <c r="AX48" i="42"/>
  <c r="R43" i="53" s="1"/>
  <c r="AX20" i="42"/>
  <c r="R15" i="53" s="1"/>
  <c r="AX60" i="42"/>
  <c r="R55" i="53" s="1"/>
  <c r="N66"/>
  <c r="AT14" i="42"/>
  <c r="N9" i="53" s="1"/>
  <c r="AT15" i="42"/>
  <c r="N10" i="53" s="1"/>
  <c r="AN14" i="42"/>
  <c r="P53" i="53"/>
  <c r="AV16" i="42"/>
  <c r="AV14"/>
  <c r="L9" i="53"/>
  <c r="AR16" i="42"/>
  <c r="L11" i="53" s="1"/>
  <c r="AR20" i="42"/>
  <c r="L15" i="53" s="1"/>
  <c r="AR24" i="42"/>
  <c r="L19" i="53" s="1"/>
  <c r="AR28" i="42"/>
  <c r="L23" i="53" s="1"/>
  <c r="AR32" i="42"/>
  <c r="L27" i="53" s="1"/>
  <c r="AR36" i="42"/>
  <c r="L31" i="53" s="1"/>
  <c r="AR40" i="42"/>
  <c r="L35" i="53" s="1"/>
  <c r="AR44" i="42"/>
  <c r="L39" i="53" s="1"/>
  <c r="AR48" i="42"/>
  <c r="L43" i="53" s="1"/>
  <c r="AR52" i="42"/>
  <c r="L47" i="53" s="1"/>
  <c r="AR56" i="42"/>
  <c r="L51" i="53" s="1"/>
  <c r="AR60" i="42"/>
  <c r="L55" i="53" s="1"/>
  <c r="AR64" i="42"/>
  <c r="L59" i="53" s="1"/>
  <c r="AR68" i="42"/>
  <c r="L63" i="53" s="1"/>
  <c r="AR72" i="42"/>
  <c r="L67" i="53" s="1"/>
  <c r="AR76" i="42"/>
  <c r="L71" i="53" s="1"/>
  <c r="AR80" i="42"/>
  <c r="L75" i="53" s="1"/>
  <c r="AR84" i="42"/>
  <c r="L79" i="53" s="1"/>
  <c r="AR15" i="42"/>
  <c r="L10" i="53" s="1"/>
  <c r="AR31" i="42"/>
  <c r="L26" i="53" s="1"/>
  <c r="AR47" i="42"/>
  <c r="L42" i="53" s="1"/>
  <c r="AR59" i="42"/>
  <c r="L54" i="53" s="1"/>
  <c r="AR75" i="42"/>
  <c r="L70" i="53" s="1"/>
  <c r="AR17" i="42"/>
  <c r="L12" i="53" s="1"/>
  <c r="AR21" i="42"/>
  <c r="L16" i="53" s="1"/>
  <c r="AR25" i="42"/>
  <c r="L20" i="53" s="1"/>
  <c r="AR29" i="42"/>
  <c r="L24" i="53" s="1"/>
  <c r="AR33" i="42"/>
  <c r="L28" i="53" s="1"/>
  <c r="AR37" i="42"/>
  <c r="L32" i="53" s="1"/>
  <c r="AR41" i="42"/>
  <c r="L36" i="53" s="1"/>
  <c r="AR45" i="42"/>
  <c r="L40" i="53" s="1"/>
  <c r="AR49" i="42"/>
  <c r="L44" i="53" s="1"/>
  <c r="AR53" i="42"/>
  <c r="L48" i="53" s="1"/>
  <c r="AR57" i="42"/>
  <c r="L52" i="53" s="1"/>
  <c r="AR61" i="42"/>
  <c r="L56" i="53" s="1"/>
  <c r="AR65" i="42"/>
  <c r="L60" i="53" s="1"/>
  <c r="AR69" i="42"/>
  <c r="L64" i="53" s="1"/>
  <c r="AR73" i="42"/>
  <c r="L68" i="53" s="1"/>
  <c r="AR77" i="42"/>
  <c r="L72" i="53" s="1"/>
  <c r="AR81" i="42"/>
  <c r="L76" i="53" s="1"/>
  <c r="AR85" i="42"/>
  <c r="L80" i="53" s="1"/>
  <c r="AR23" i="42"/>
  <c r="L18" i="53" s="1"/>
  <c r="AR35" i="42"/>
  <c r="L30" i="53" s="1"/>
  <c r="AR51" i="42"/>
  <c r="L46" i="53" s="1"/>
  <c r="AR63" i="42"/>
  <c r="L58" i="53" s="1"/>
  <c r="AR79" i="42"/>
  <c r="L74" i="53" s="1"/>
  <c r="AR18" i="42"/>
  <c r="L13" i="53" s="1"/>
  <c r="AR22" i="42"/>
  <c r="L17" i="53" s="1"/>
  <c r="AR26" i="42"/>
  <c r="L21" i="53" s="1"/>
  <c r="AR30" i="42"/>
  <c r="L25" i="53" s="1"/>
  <c r="AR34" i="42"/>
  <c r="L29" i="53" s="1"/>
  <c r="AR38" i="42"/>
  <c r="L33" i="53" s="1"/>
  <c r="AR42" i="42"/>
  <c r="L37" i="53" s="1"/>
  <c r="AR46" i="42"/>
  <c r="L41" i="53" s="1"/>
  <c r="AR50" i="42"/>
  <c r="L45" i="53" s="1"/>
  <c r="AR54" i="42"/>
  <c r="L49" i="53" s="1"/>
  <c r="AR58" i="42"/>
  <c r="L53" i="53" s="1"/>
  <c r="AR62" i="42"/>
  <c r="L57" i="53" s="1"/>
  <c r="AR66" i="42"/>
  <c r="L61" i="53" s="1"/>
  <c r="AR70" i="42"/>
  <c r="L65" i="53" s="1"/>
  <c r="AR74" i="42"/>
  <c r="L69" i="53" s="1"/>
  <c r="AR78" i="42"/>
  <c r="L73" i="53" s="1"/>
  <c r="AR82" i="42"/>
  <c r="L77" i="53" s="1"/>
  <c r="AR19" i="42"/>
  <c r="L14" i="53" s="1"/>
  <c r="AR27" i="42"/>
  <c r="L22" i="53" s="1"/>
  <c r="AR39" i="42"/>
  <c r="L34" i="53" s="1"/>
  <c r="AR43" i="42"/>
  <c r="L38" i="53" s="1"/>
  <c r="AR55" i="42"/>
  <c r="L50" i="53" s="1"/>
  <c r="AR67" i="42"/>
  <c r="L62" i="53" s="1"/>
  <c r="AR71" i="42"/>
  <c r="L66" i="53" s="1"/>
  <c r="AR83" i="42"/>
  <c r="L78" i="53" s="1"/>
  <c r="J9"/>
  <c r="R51"/>
  <c r="BB15" i="42"/>
  <c r="V10" i="53" s="1"/>
  <c r="BB17" i="42"/>
  <c r="V12" i="53" s="1"/>
  <c r="BB19" i="42"/>
  <c r="V14" i="53" s="1"/>
  <c r="BB21" i="42"/>
  <c r="V16" i="53" s="1"/>
  <c r="BB23" i="42"/>
  <c r="V18" i="53" s="1"/>
  <c r="BB25" i="42"/>
  <c r="V20" i="53" s="1"/>
  <c r="BB27" i="42"/>
  <c r="V22" i="53" s="1"/>
  <c r="BB29" i="42"/>
  <c r="V24" i="53" s="1"/>
  <c r="BB31" i="42"/>
  <c r="V26" i="53" s="1"/>
  <c r="BB33" i="42"/>
  <c r="V28" i="53" s="1"/>
  <c r="BB35" i="42"/>
  <c r="V30" i="53" s="1"/>
  <c r="BB37" i="42"/>
  <c r="V32" i="53" s="1"/>
  <c r="BB39" i="42"/>
  <c r="V34" i="53" s="1"/>
  <c r="BB41" i="42"/>
  <c r="V36" i="53" s="1"/>
  <c r="BB43" i="42"/>
  <c r="V38" i="53" s="1"/>
  <c r="BB45" i="42"/>
  <c r="V40" i="53" s="1"/>
  <c r="BB47" i="42"/>
  <c r="V42" i="53" s="1"/>
  <c r="BB49" i="42"/>
  <c r="V44" i="53" s="1"/>
  <c r="BB51" i="42"/>
  <c r="V46" i="53" s="1"/>
  <c r="BB53" i="42"/>
  <c r="V48" i="53" s="1"/>
  <c r="BB55" i="42"/>
  <c r="V50" i="53" s="1"/>
  <c r="BB57" i="42"/>
  <c r="V52" i="53" s="1"/>
  <c r="BB59" i="42"/>
  <c r="V54" i="53" s="1"/>
  <c r="BB61" i="42"/>
  <c r="V56" i="53" s="1"/>
  <c r="BB63" i="42"/>
  <c r="V58" i="53" s="1"/>
  <c r="BB65" i="42"/>
  <c r="V60" i="53" s="1"/>
  <c r="BB67" i="42"/>
  <c r="V62" i="53" s="1"/>
  <c r="BB69" i="42"/>
  <c r="V64" i="53" s="1"/>
  <c r="BB71" i="42"/>
  <c r="V66" i="53" s="1"/>
  <c r="BB73" i="42"/>
  <c r="V68" i="53" s="1"/>
  <c r="BB75" i="42"/>
  <c r="V70" i="53" s="1"/>
  <c r="BB77" i="42"/>
  <c r="V72" i="53" s="1"/>
  <c r="BB79" i="42"/>
  <c r="V74" i="53" s="1"/>
  <c r="BB81" i="42"/>
  <c r="V76" i="53" s="1"/>
  <c r="BB83" i="42"/>
  <c r="V78" i="53" s="1"/>
  <c r="BB85" i="42"/>
  <c r="V80" i="53" s="1"/>
  <c r="BB58" i="42"/>
  <c r="V53" i="53" s="1"/>
  <c r="BB64" i="42"/>
  <c r="V59" i="53" s="1"/>
  <c r="BB68" i="42"/>
  <c r="V63" i="53" s="1"/>
  <c r="BB70" i="42"/>
  <c r="V65" i="53" s="1"/>
  <c r="BB74" i="42"/>
  <c r="V69" i="53" s="1"/>
  <c r="BB76" i="42"/>
  <c r="V71" i="53" s="1"/>
  <c r="BB80" i="42"/>
  <c r="V75" i="53" s="1"/>
  <c r="BB82" i="42"/>
  <c r="V77" i="53" s="1"/>
  <c r="V9"/>
  <c r="BB16" i="42"/>
  <c r="V11" i="53" s="1"/>
  <c r="BB18" i="42"/>
  <c r="V13" i="53" s="1"/>
  <c r="BB20" i="42"/>
  <c r="V15" i="53" s="1"/>
  <c r="BB22" i="42"/>
  <c r="V17" i="53" s="1"/>
  <c r="BB24" i="42"/>
  <c r="V19" i="53" s="1"/>
  <c r="BB26" i="42"/>
  <c r="V21" i="53" s="1"/>
  <c r="BB28" i="42"/>
  <c r="V23" i="53" s="1"/>
  <c r="BB30" i="42"/>
  <c r="V25" i="53" s="1"/>
  <c r="BB32" i="42"/>
  <c r="V27" i="53" s="1"/>
  <c r="BB34" i="42"/>
  <c r="V29" i="53" s="1"/>
  <c r="BB36" i="42"/>
  <c r="V31" i="53" s="1"/>
  <c r="BB38" i="42"/>
  <c r="V33" i="53" s="1"/>
  <c r="BB40" i="42"/>
  <c r="V35" i="53" s="1"/>
  <c r="BB42" i="42"/>
  <c r="V37" i="53" s="1"/>
  <c r="BB44" i="42"/>
  <c r="V39" i="53" s="1"/>
  <c r="BB46" i="42"/>
  <c r="V41" i="53" s="1"/>
  <c r="BB48" i="42"/>
  <c r="V43" i="53" s="1"/>
  <c r="BB50" i="42"/>
  <c r="V45" i="53" s="1"/>
  <c r="BB52" i="42"/>
  <c r="V47" i="53" s="1"/>
  <c r="BB54" i="42"/>
  <c r="V49" i="53" s="1"/>
  <c r="BB56" i="42"/>
  <c r="V51" i="53" s="1"/>
  <c r="BB60" i="42"/>
  <c r="V55" i="53" s="1"/>
  <c r="BB62" i="42"/>
  <c r="V57" i="53" s="1"/>
  <c r="BB66" i="42"/>
  <c r="V61" i="53" s="1"/>
  <c r="BB72" i="42"/>
  <c r="V67" i="53" s="1"/>
  <c r="BB78" i="42"/>
  <c r="V73" i="53" s="1"/>
  <c r="BB84" i="42"/>
  <c r="V79" i="53" s="1"/>
  <c r="AZ18" i="42"/>
  <c r="T13" i="53" s="1"/>
  <c r="AZ22" i="42"/>
  <c r="T17" i="53" s="1"/>
  <c r="AZ26" i="42"/>
  <c r="T21" i="53" s="1"/>
  <c r="AZ30" i="42"/>
  <c r="T25" i="53" s="1"/>
  <c r="AZ38" i="42"/>
  <c r="T33" i="53" s="1"/>
  <c r="AZ42" i="42"/>
  <c r="T37" i="53" s="1"/>
  <c r="AZ46" i="42"/>
  <c r="T41" i="53" s="1"/>
  <c r="AZ50" i="42"/>
  <c r="T45" i="53" s="1"/>
  <c r="AZ54" i="42"/>
  <c r="T49" i="53" s="1"/>
  <c r="AZ58" i="42"/>
  <c r="T53" i="53" s="1"/>
  <c r="AZ62" i="42"/>
  <c r="T57" i="53" s="1"/>
  <c r="AZ17" i="42"/>
  <c r="T12" i="53" s="1"/>
  <c r="AZ21" i="42"/>
  <c r="T16" i="53" s="1"/>
  <c r="AZ25" i="42"/>
  <c r="T20" i="53" s="1"/>
  <c r="AZ29" i="42"/>
  <c r="T24" i="53" s="1"/>
  <c r="AZ33" i="42"/>
  <c r="T28" i="53" s="1"/>
  <c r="AZ37" i="42"/>
  <c r="T32" i="53" s="1"/>
  <c r="AZ41" i="42"/>
  <c r="T36" i="53" s="1"/>
  <c r="AZ45" i="42"/>
  <c r="T40" i="53" s="1"/>
  <c r="AZ49" i="42"/>
  <c r="T44" i="53" s="1"/>
  <c r="AZ53" i="42"/>
  <c r="T48" i="53" s="1"/>
  <c r="AZ57" i="42"/>
  <c r="T52" i="53" s="1"/>
  <c r="AZ61" i="42"/>
  <c r="T56" i="53" s="1"/>
  <c r="AZ16" i="42"/>
  <c r="T11" i="53" s="1"/>
  <c r="AZ20" i="42"/>
  <c r="T15" i="53" s="1"/>
  <c r="AZ24" i="42"/>
  <c r="T19" i="53" s="1"/>
  <c r="AZ28" i="42"/>
  <c r="T23" i="53" s="1"/>
  <c r="AZ32" i="42"/>
  <c r="T27" i="53" s="1"/>
  <c r="AZ36" i="42"/>
  <c r="T31" i="53" s="1"/>
  <c r="AZ40" i="42"/>
  <c r="T35" i="53" s="1"/>
  <c r="AZ44" i="42"/>
  <c r="T39" i="53" s="1"/>
  <c r="AZ48" i="42"/>
  <c r="T43" i="53" s="1"/>
  <c r="AZ52" i="42"/>
  <c r="T47" i="53" s="1"/>
  <c r="AZ56" i="42"/>
  <c r="T51" i="53" s="1"/>
  <c r="AZ60" i="42"/>
  <c r="T55" i="53" s="1"/>
  <c r="AZ68" i="42"/>
  <c r="T63" i="53" s="1"/>
  <c r="AZ72" i="42"/>
  <c r="T67" i="53" s="1"/>
  <c r="AZ76" i="42"/>
  <c r="T71" i="53" s="1"/>
  <c r="AZ80" i="42"/>
  <c r="T75" i="53" s="1"/>
  <c r="AZ23" i="42"/>
  <c r="T18" i="53" s="1"/>
  <c r="AZ39" i="42"/>
  <c r="T34" i="53" s="1"/>
  <c r="AZ55" i="42"/>
  <c r="T50" i="53" s="1"/>
  <c r="AZ66" i="42"/>
  <c r="T61" i="53" s="1"/>
  <c r="AZ75" i="42"/>
  <c r="T70" i="53" s="1"/>
  <c r="AZ19" i="42"/>
  <c r="T14" i="53" s="1"/>
  <c r="AZ51" i="42"/>
  <c r="T46" i="53" s="1"/>
  <c r="AZ70" i="42"/>
  <c r="T65" i="53" s="1"/>
  <c r="AZ77" i="42"/>
  <c r="T72" i="53" s="1"/>
  <c r="AZ79" i="42"/>
  <c r="T74" i="53" s="1"/>
  <c r="AZ31" i="42"/>
  <c r="T26" i="53" s="1"/>
  <c r="AZ47" i="42"/>
  <c r="T42" i="53" s="1"/>
  <c r="AZ67" i="42"/>
  <c r="T62" i="53" s="1"/>
  <c r="AZ74" i="42"/>
  <c r="T69" i="53" s="1"/>
  <c r="AZ81" i="42"/>
  <c r="T76" i="53" s="1"/>
  <c r="AZ83" i="42"/>
  <c r="T78" i="53" s="1"/>
  <c r="AZ27" i="42"/>
  <c r="T22" i="53" s="1"/>
  <c r="AZ43" i="42"/>
  <c r="T38" i="53" s="1"/>
  <c r="AZ59" i="42"/>
  <c r="T54" i="53" s="1"/>
  <c r="AZ69" i="42"/>
  <c r="T64" i="53" s="1"/>
  <c r="AZ71" i="42"/>
  <c r="T66" i="53" s="1"/>
  <c r="AZ78" i="42"/>
  <c r="T73" i="53" s="1"/>
  <c r="AZ73" i="42"/>
  <c r="T68" i="53" s="1"/>
  <c r="AZ82" i="42"/>
  <c r="T77" i="53" s="1"/>
  <c r="AZ85" i="42"/>
  <c r="T80" i="53" s="1"/>
  <c r="AT49" i="42"/>
  <c r="N44" i="53" s="1"/>
  <c r="AT45" i="42"/>
  <c r="N40" i="53" s="1"/>
  <c r="AT41" i="42"/>
  <c r="N36" i="53" s="1"/>
  <c r="AT37" i="42"/>
  <c r="N32" i="53" s="1"/>
  <c r="AT25" i="42"/>
  <c r="N20" i="53" s="1"/>
  <c r="N75"/>
  <c r="AT35" i="42"/>
  <c r="N30" i="53" s="1"/>
  <c r="N56"/>
  <c r="AT19" i="42"/>
  <c r="N14" i="53" s="1"/>
  <c r="AT44" i="42"/>
  <c r="N39" i="53" s="1"/>
  <c r="AT16" i="42"/>
  <c r="N11" i="53" s="1"/>
  <c r="AT17" i="42"/>
  <c r="N12" i="53" s="1"/>
  <c r="N54"/>
  <c r="AT38" i="42"/>
  <c r="N33" i="53" s="1"/>
  <c r="AT34" i="42"/>
  <c r="N29" i="53" s="1"/>
  <c r="AT26" i="42"/>
  <c r="N21" i="53" s="1"/>
  <c r="AT55" i="42"/>
  <c r="N50" i="53" s="1"/>
  <c r="AT47" i="42"/>
  <c r="N42" i="53" s="1"/>
  <c r="AT43" i="42"/>
  <c r="N38" i="53" s="1"/>
  <c r="N70"/>
  <c r="AT36" i="42"/>
  <c r="N31" i="53" s="1"/>
  <c r="AT32" i="42"/>
  <c r="N27" i="53" s="1"/>
  <c r="N68"/>
  <c r="AT28" i="42"/>
  <c r="N23" i="53" s="1"/>
  <c r="AT24" i="42"/>
  <c r="N19" i="53" s="1"/>
  <c r="AT20" i="42"/>
  <c r="N15" i="53" s="1"/>
  <c r="AT30" i="42"/>
  <c r="N25" i="53" s="1"/>
  <c r="N52"/>
  <c r="AT33" i="42"/>
  <c r="N28" i="53" s="1"/>
  <c r="N58"/>
  <c r="N72"/>
  <c r="AT21" i="42"/>
  <c r="N16" i="53" s="1"/>
  <c r="N63"/>
  <c r="N73"/>
  <c r="N79"/>
  <c r="AT22" i="42"/>
  <c r="N17" i="53" s="1"/>
  <c r="AT51" i="42"/>
  <c r="N46" i="53" s="1"/>
  <c r="AT31" i="42"/>
  <c r="N26" i="53" s="1"/>
  <c r="N76"/>
  <c r="AT53" i="42"/>
  <c r="N48" i="53" s="1"/>
  <c r="AT42" i="42"/>
  <c r="N37" i="53" s="1"/>
  <c r="AT18" i="42"/>
  <c r="N13" i="53" s="1"/>
  <c r="AT23" i="42"/>
  <c r="N18" i="53" s="1"/>
  <c r="AT52" i="42"/>
  <c r="N47" i="53" s="1"/>
  <c r="AT40" i="42"/>
  <c r="N35" i="53" s="1"/>
  <c r="N71"/>
  <c r="AT46" i="42"/>
  <c r="N41" i="53" s="1"/>
  <c r="N60"/>
  <c r="AT27" i="42"/>
  <c r="N22" i="53" s="1"/>
  <c r="AT56" i="42"/>
  <c r="N51" i="53" s="1"/>
  <c r="N57"/>
  <c r="AT50" i="42"/>
  <c r="N45" i="53" s="1"/>
  <c r="AT39" i="42"/>
  <c r="N34" i="53" s="1"/>
  <c r="N61"/>
  <c r="N77"/>
  <c r="AT54" i="42"/>
  <c r="N49" i="53" s="1"/>
  <c r="N69"/>
  <c r="N55"/>
  <c r="AT48" i="42"/>
  <c r="N43" i="53" s="1"/>
  <c r="J19"/>
  <c r="J59"/>
  <c r="J28"/>
  <c r="R50"/>
  <c r="R40"/>
  <c r="R44"/>
  <c r="J133" i="44"/>
  <c r="K133"/>
  <c r="K208"/>
  <c r="J208"/>
  <c r="J433"/>
  <c r="K433"/>
  <c r="K283"/>
  <c r="J283"/>
  <c r="J358"/>
  <c r="J508"/>
  <c r="K508"/>
  <c r="K583"/>
  <c r="K358"/>
  <c r="K58"/>
  <c r="J583"/>
  <c r="J58"/>
  <c r="BC14" i="42" l="1"/>
  <c r="J54" i="45"/>
  <c r="K54"/>
  <c r="K536" i="44"/>
  <c r="J538"/>
  <c r="J536"/>
  <c r="K538"/>
  <c r="Q65" i="40"/>
  <c r="P65"/>
  <c r="Q23"/>
  <c r="P23"/>
  <c r="Q21"/>
  <c r="P21"/>
  <c r="Q9"/>
  <c r="P9"/>
  <c r="Q10"/>
  <c r="P10"/>
  <c r="Q8"/>
  <c r="P8"/>
  <c r="Q44"/>
  <c r="P44"/>
  <c r="P64"/>
  <c r="Q63"/>
  <c r="P63"/>
  <c r="Q62"/>
  <c r="P62"/>
  <c r="Q46"/>
  <c r="P46"/>
  <c r="Q52"/>
  <c r="P52"/>
  <c r="Q51"/>
  <c r="P51"/>
  <c r="Q53"/>
  <c r="P53"/>
  <c r="Q47"/>
  <c r="P47"/>
  <c r="Q17"/>
  <c r="P17"/>
  <c r="Q18"/>
  <c r="P18"/>
  <c r="Q16"/>
  <c r="P16"/>
  <c r="Q15"/>
  <c r="P15"/>
  <c r="Q12"/>
  <c r="P12"/>
  <c r="Q45"/>
  <c r="P45"/>
  <c r="Q11"/>
  <c r="P11"/>
  <c r="Q13"/>
  <c r="P13"/>
  <c r="Q49"/>
  <c r="P49"/>
  <c r="Q50"/>
  <c r="P50"/>
  <c r="Q48"/>
  <c r="P48"/>
  <c r="Q20"/>
  <c r="P20"/>
  <c r="Q19"/>
  <c r="P19"/>
  <c r="Q59"/>
  <c r="Q36"/>
  <c r="P36"/>
  <c r="Q33"/>
  <c r="P33"/>
  <c r="Q31"/>
  <c r="P31"/>
  <c r="Q39"/>
  <c r="P39"/>
  <c r="Q30"/>
  <c r="P30"/>
  <c r="Q38"/>
  <c r="P38"/>
  <c r="Q35"/>
  <c r="P35"/>
  <c r="Q28"/>
  <c r="P28"/>
  <c r="Q34"/>
  <c r="P34"/>
  <c r="Q29"/>
  <c r="P29"/>
  <c r="Q32"/>
  <c r="P32"/>
  <c r="Q37"/>
  <c r="P37"/>
  <c r="Q40"/>
  <c r="P40"/>
  <c r="Q27"/>
  <c r="P27"/>
  <c r="Q43"/>
  <c r="P43"/>
  <c r="Q42"/>
  <c r="P42"/>
  <c r="Q41"/>
  <c r="P41"/>
  <c r="Q14"/>
  <c r="P14"/>
  <c r="Q24"/>
  <c r="P24"/>
  <c r="L54" i="45" l="1"/>
  <c r="L4" s="1"/>
  <c r="Q64" i="40"/>
  <c r="P61"/>
  <c r="Q58"/>
  <c r="E69" i="45"/>
  <c r="P25" i="40"/>
  <c r="AN85" i="42"/>
  <c r="H80" i="53" s="1"/>
  <c r="F82" i="44"/>
  <c r="Q22" i="40"/>
  <c r="Q61"/>
  <c r="F69" i="45"/>
  <c r="Q25" i="40"/>
  <c r="P60"/>
  <c r="P58"/>
  <c r="P59"/>
  <c r="Q60"/>
  <c r="AM85" i="42"/>
  <c r="E82" i="44"/>
  <c r="P22" i="40"/>
  <c r="J551" i="44"/>
  <c r="J537"/>
  <c r="K568"/>
  <c r="J571"/>
  <c r="K571"/>
  <c r="J564"/>
  <c r="J567"/>
  <c r="K574"/>
  <c r="K546"/>
  <c r="J547"/>
  <c r="K551"/>
  <c r="J558"/>
  <c r="J565"/>
  <c r="J545"/>
  <c r="K576"/>
  <c r="K550"/>
  <c r="J561"/>
  <c r="K560"/>
  <c r="J555"/>
  <c r="J552"/>
  <c r="K543"/>
  <c r="J573"/>
  <c r="J576"/>
  <c r="K567"/>
  <c r="K569"/>
  <c r="K577"/>
  <c r="K559"/>
  <c r="J581"/>
  <c r="J544"/>
  <c r="K581"/>
  <c r="K570"/>
  <c r="K578"/>
  <c r="J574"/>
  <c r="J546"/>
  <c r="K573"/>
  <c r="K552"/>
  <c r="J549"/>
  <c r="K558"/>
  <c r="J560"/>
  <c r="J568"/>
  <c r="J543"/>
  <c r="K563"/>
  <c r="K562"/>
  <c r="J570"/>
  <c r="J559"/>
  <c r="J566"/>
  <c r="J556"/>
  <c r="K557"/>
  <c r="K555"/>
  <c r="K537"/>
  <c r="K545"/>
  <c r="K539"/>
  <c r="K575"/>
  <c r="K566"/>
  <c r="J557"/>
  <c r="K548"/>
  <c r="J548"/>
  <c r="K540"/>
  <c r="J578"/>
  <c r="J577"/>
  <c r="K549"/>
  <c r="K564"/>
  <c r="J539"/>
  <c r="K565"/>
  <c r="J575"/>
  <c r="J540"/>
  <c r="K547"/>
  <c r="K556"/>
  <c r="J569"/>
  <c r="K561"/>
  <c r="J563"/>
  <c r="J562"/>
  <c r="K544"/>
  <c r="K553"/>
  <c r="J553"/>
  <c r="J550"/>
  <c r="F11"/>
  <c r="F13"/>
  <c r="AN16" i="42"/>
  <c r="H11" i="53" s="1"/>
  <c r="F14" i="44"/>
  <c r="AN17" i="42"/>
  <c r="H12" i="53" s="1"/>
  <c r="F20" i="44"/>
  <c r="AN23" i="42"/>
  <c r="H18" i="53" s="1"/>
  <c r="F22" i="44"/>
  <c r="AN25" i="42"/>
  <c r="H20" i="53" s="1"/>
  <c r="F24" i="44"/>
  <c r="AN27" i="42"/>
  <c r="H22" i="53" s="1"/>
  <c r="F26" i="44"/>
  <c r="AN29" i="42"/>
  <c r="H24" i="53" s="1"/>
  <c r="F27" i="44"/>
  <c r="AN30" i="42"/>
  <c r="H25" i="53" s="1"/>
  <c r="E28" i="44"/>
  <c r="AM31" i="42"/>
  <c r="F29" i="44"/>
  <c r="AN32" i="42"/>
  <c r="H27" i="53" s="1"/>
  <c r="E34" i="44"/>
  <c r="AM37" i="42"/>
  <c r="E35" i="44"/>
  <c r="AM38" i="42"/>
  <c r="F36" i="44"/>
  <c r="AN39" i="42"/>
  <c r="H34" i="53" s="1"/>
  <c r="E37" i="44"/>
  <c r="AM40" i="42"/>
  <c r="F38" i="44"/>
  <c r="AN41" i="42"/>
  <c r="H36" i="53" s="1"/>
  <c r="F39" i="44"/>
  <c r="AN42" i="42"/>
  <c r="H37" i="53" s="1"/>
  <c r="E41" i="44"/>
  <c r="AM44" i="42"/>
  <c r="E43" i="44"/>
  <c r="AM46" i="42"/>
  <c r="F44" i="44"/>
  <c r="AN47" i="42"/>
  <c r="H42" i="53" s="1"/>
  <c r="F45" i="44"/>
  <c r="AN48" i="42"/>
  <c r="H43" i="53" s="1"/>
  <c r="E46" i="44"/>
  <c r="AM49" i="42"/>
  <c r="E47" i="44"/>
  <c r="AM50" i="42"/>
  <c r="F49" i="44"/>
  <c r="AN52" i="42"/>
  <c r="H47" i="53" s="1"/>
  <c r="E50" i="44"/>
  <c r="AM53" i="42"/>
  <c r="E51" i="44"/>
  <c r="AM54" i="42"/>
  <c r="E55" i="44"/>
  <c r="E51" i="45" s="1"/>
  <c r="AM58" i="42"/>
  <c r="F57" i="44"/>
  <c r="AN60" i="42"/>
  <c r="H55" i="53" s="1"/>
  <c r="E60" i="44"/>
  <c r="AM63" i="42"/>
  <c r="F61" i="44"/>
  <c r="AN64" i="42"/>
  <c r="H59" i="53" s="1"/>
  <c r="E64" i="44"/>
  <c r="AM67" i="42"/>
  <c r="F65" i="44"/>
  <c r="AN68" i="42"/>
  <c r="H63" i="53" s="1"/>
  <c r="F66" i="44"/>
  <c r="AN69" i="42"/>
  <c r="H64" i="53" s="1"/>
  <c r="E67" i="44"/>
  <c r="J65" s="1"/>
  <c r="AM70" i="42"/>
  <c r="F68" i="44"/>
  <c r="K66" s="1"/>
  <c r="AN71" i="42"/>
  <c r="H66" i="53" s="1"/>
  <c r="E71" i="44"/>
  <c r="AM74" i="42"/>
  <c r="F72" i="44"/>
  <c r="AN75" i="42"/>
  <c r="H70" i="53" s="1"/>
  <c r="E75" i="44"/>
  <c r="AM78" i="42"/>
  <c r="F76" i="44"/>
  <c r="AN79" i="42"/>
  <c r="H74" i="53" s="1"/>
  <c r="E79" i="44"/>
  <c r="AM82" i="42"/>
  <c r="F80" i="44"/>
  <c r="AN83" i="42"/>
  <c r="H78" i="53" s="1"/>
  <c r="E12" i="44"/>
  <c r="AM15" i="42"/>
  <c r="E15" i="44"/>
  <c r="AM18" i="42"/>
  <c r="E21" i="44"/>
  <c r="AM24" i="42"/>
  <c r="E23" i="44"/>
  <c r="AM26" i="42"/>
  <c r="F28" i="44"/>
  <c r="AN31" i="42"/>
  <c r="H26" i="53" s="1"/>
  <c r="E31" i="44"/>
  <c r="AM34" i="42"/>
  <c r="E33" i="44"/>
  <c r="AM36" i="42"/>
  <c r="F34" i="44"/>
  <c r="AN37" i="42"/>
  <c r="H32" i="53" s="1"/>
  <c r="F35" i="44"/>
  <c r="AN38" i="42"/>
  <c r="H33" i="53" s="1"/>
  <c r="F37" i="44"/>
  <c r="AN40" i="42"/>
  <c r="H35" i="53" s="1"/>
  <c r="E40" i="44"/>
  <c r="AM43" i="42"/>
  <c r="F41" i="44"/>
  <c r="AN44" i="42"/>
  <c r="H39" i="53" s="1"/>
  <c r="E42" i="44"/>
  <c r="AM45" i="42"/>
  <c r="F43" i="44"/>
  <c r="AN46" i="42"/>
  <c r="H41" i="53" s="1"/>
  <c r="F46" i="44"/>
  <c r="AN49" i="42"/>
  <c r="H44" i="53" s="1"/>
  <c r="F47" i="44"/>
  <c r="AN50" i="42"/>
  <c r="H45" i="53" s="1"/>
  <c r="F50" i="44"/>
  <c r="AN53" i="42"/>
  <c r="H48" i="53" s="1"/>
  <c r="F51" i="44"/>
  <c r="AN54" i="42"/>
  <c r="H49" i="53" s="1"/>
  <c r="F55" i="44"/>
  <c r="F51" i="45" s="1"/>
  <c r="AN58" i="42"/>
  <c r="H53" i="53" s="1"/>
  <c r="E59" i="44"/>
  <c r="AM62" i="42"/>
  <c r="F60" i="44"/>
  <c r="AN63" i="42"/>
  <c r="H58" i="53" s="1"/>
  <c r="E63" i="44"/>
  <c r="AM66" i="42"/>
  <c r="F64" i="44"/>
  <c r="AN67" i="42"/>
  <c r="H62" i="53" s="1"/>
  <c r="F67" i="44"/>
  <c r="K65" s="1"/>
  <c r="AN70" i="42"/>
  <c r="H65" i="53" s="1"/>
  <c r="E70" i="44"/>
  <c r="AM73" i="42"/>
  <c r="F71" i="44"/>
  <c r="AN74" i="42"/>
  <c r="H69" i="53" s="1"/>
  <c r="E74" i="44"/>
  <c r="AM77" i="42"/>
  <c r="F75" i="44"/>
  <c r="AN78" i="42"/>
  <c r="H73" i="53" s="1"/>
  <c r="E78" i="44"/>
  <c r="AM81" i="42"/>
  <c r="F79" i="44"/>
  <c r="AN82" i="42"/>
  <c r="H77" i="53" s="1"/>
  <c r="F12" i="44"/>
  <c r="AN15" i="42"/>
  <c r="H10" i="53" s="1"/>
  <c r="F15" i="44"/>
  <c r="AN18" i="42"/>
  <c r="H13" i="53" s="1"/>
  <c r="E16" i="44"/>
  <c r="AM19" i="42"/>
  <c r="E17" i="44"/>
  <c r="AM20" i="42"/>
  <c r="E18" i="44"/>
  <c r="AM21" i="42"/>
  <c r="E19" i="44"/>
  <c r="AM22" i="42"/>
  <c r="F21" i="44"/>
  <c r="AN24" i="42"/>
  <c r="H19" i="53" s="1"/>
  <c r="F23" i="44"/>
  <c r="AN26" i="42"/>
  <c r="H21" i="53" s="1"/>
  <c r="E25" i="44"/>
  <c r="AM28" i="42"/>
  <c r="E30" i="44"/>
  <c r="AM33" i="42"/>
  <c r="F31" i="44"/>
  <c r="AN34" i="42"/>
  <c r="H29" i="53" s="1"/>
  <c r="E32" i="44"/>
  <c r="AM35" i="42"/>
  <c r="F33" i="44"/>
  <c r="AN36" i="42"/>
  <c r="H31" i="53" s="1"/>
  <c r="F40" i="44"/>
  <c r="AN43" i="42"/>
  <c r="H38" i="53" s="1"/>
  <c r="F42" i="44"/>
  <c r="AN45" i="42"/>
  <c r="H40" i="53" s="1"/>
  <c r="E48" i="44"/>
  <c r="AM51" i="42"/>
  <c r="E52" i="44"/>
  <c r="AM55" i="42"/>
  <c r="E53" i="44"/>
  <c r="AM56" i="42"/>
  <c r="E54" i="44"/>
  <c r="AM57" i="42"/>
  <c r="E56" i="44"/>
  <c r="AM59" i="42"/>
  <c r="E58" i="44"/>
  <c r="AM61" i="42"/>
  <c r="F59" i="44"/>
  <c r="AN62" i="42"/>
  <c r="H57" i="53" s="1"/>
  <c r="E62" i="44"/>
  <c r="AM65" i="42"/>
  <c r="F63" i="44"/>
  <c r="K63" s="1"/>
  <c r="AN66" i="42"/>
  <c r="H61" i="53" s="1"/>
  <c r="E69" i="44"/>
  <c r="AM72" i="42"/>
  <c r="F70" i="44"/>
  <c r="AN73" i="42"/>
  <c r="H68" i="53" s="1"/>
  <c r="AM76" i="42"/>
  <c r="F74" i="44"/>
  <c r="AN77" i="42"/>
  <c r="H72" i="53" s="1"/>
  <c r="E77" i="44"/>
  <c r="AM80" i="42"/>
  <c r="F78" i="44"/>
  <c r="AN81" i="42"/>
  <c r="H76" i="53" s="1"/>
  <c r="AM84" i="42"/>
  <c r="E11" i="44"/>
  <c r="E13"/>
  <c r="AM16" i="42"/>
  <c r="E14" i="44"/>
  <c r="AM17" i="42"/>
  <c r="F16" i="44"/>
  <c r="AN19" i="42"/>
  <c r="H14" i="53" s="1"/>
  <c r="F17" i="44"/>
  <c r="AN20" i="42"/>
  <c r="H15" i="53" s="1"/>
  <c r="F18" i="44"/>
  <c r="AN21" i="42"/>
  <c r="H16" i="53" s="1"/>
  <c r="F19" i="44"/>
  <c r="AN22" i="42"/>
  <c r="H17" i="53" s="1"/>
  <c r="E20" i="44"/>
  <c r="AM23" i="42"/>
  <c r="E22" i="44"/>
  <c r="AM25" i="42"/>
  <c r="E24" i="44"/>
  <c r="AM27" i="42"/>
  <c r="F25" i="44"/>
  <c r="AN28" i="42"/>
  <c r="H23" i="53" s="1"/>
  <c r="E26" i="44"/>
  <c r="AM29" i="42"/>
  <c r="E27" i="44"/>
  <c r="AM30" i="42"/>
  <c r="E29" i="44"/>
  <c r="AM32" i="42"/>
  <c r="F30" i="44"/>
  <c r="AN33" i="42"/>
  <c r="H28" i="53" s="1"/>
  <c r="F32" i="44"/>
  <c r="AN35" i="42"/>
  <c r="H30" i="53" s="1"/>
  <c r="E36" i="44"/>
  <c r="AM39" i="42"/>
  <c r="E38" i="44"/>
  <c r="AM41" i="42"/>
  <c r="E39" i="44"/>
  <c r="AM42" i="42"/>
  <c r="E44" i="44"/>
  <c r="AM47" i="42"/>
  <c r="E45" i="44"/>
  <c r="AM48" i="42"/>
  <c r="F48" i="44"/>
  <c r="AN51" i="42"/>
  <c r="H46" i="53" s="1"/>
  <c r="E49" i="44"/>
  <c r="AM52" i="42"/>
  <c r="F52" i="44"/>
  <c r="AN55" i="42"/>
  <c r="H50" i="53" s="1"/>
  <c r="F53" i="44"/>
  <c r="AN56" i="42"/>
  <c r="H51" i="53" s="1"/>
  <c r="F54" i="44"/>
  <c r="AN57" i="42"/>
  <c r="H52" i="53" s="1"/>
  <c r="F56" i="44"/>
  <c r="AN59" i="42"/>
  <c r="H54" i="53" s="1"/>
  <c r="E57" i="44"/>
  <c r="AM60" i="42"/>
  <c r="F58" i="44"/>
  <c r="AN61" i="42"/>
  <c r="H56" i="53" s="1"/>
  <c r="E61" i="44"/>
  <c r="AM64" i="42"/>
  <c r="F62" i="44"/>
  <c r="AN65" i="42"/>
  <c r="H60" i="53" s="1"/>
  <c r="E65" i="44"/>
  <c r="AM68" i="42"/>
  <c r="E66" i="44"/>
  <c r="AM69" i="42"/>
  <c r="E68" i="44"/>
  <c r="J66" s="1"/>
  <c r="AM71" i="42"/>
  <c r="F69" i="44"/>
  <c r="AN72" i="42"/>
  <c r="H67" i="53" s="1"/>
  <c r="E72" i="44"/>
  <c r="AM75" i="42"/>
  <c r="AN76"/>
  <c r="H71" i="53" s="1"/>
  <c r="E76" i="44"/>
  <c r="AM79" i="42"/>
  <c r="F77" i="44"/>
  <c r="AN80" i="42"/>
  <c r="H75" i="53" s="1"/>
  <c r="E80" i="44"/>
  <c r="AM83" i="42"/>
  <c r="AN84"/>
  <c r="H79" i="53" s="1"/>
  <c r="P8" i="29"/>
  <c r="P63"/>
  <c r="P31"/>
  <c r="P37"/>
  <c r="P14"/>
  <c r="Q44"/>
  <c r="Q63"/>
  <c r="Q62"/>
  <c r="Q11"/>
  <c r="Q49"/>
  <c r="J67" i="44" l="1"/>
  <c r="J63"/>
  <c r="K62"/>
  <c r="J62"/>
  <c r="K61"/>
  <c r="K67"/>
  <c r="K64"/>
  <c r="J64"/>
  <c r="J61"/>
  <c r="G74" i="53"/>
  <c r="G67"/>
  <c r="G60"/>
  <c r="G56"/>
  <c r="G52"/>
  <c r="F52" s="1"/>
  <c r="BC57" i="42"/>
  <c r="G50" i="53"/>
  <c r="G23"/>
  <c r="G16"/>
  <c r="G14"/>
  <c r="G76"/>
  <c r="G72"/>
  <c r="G68"/>
  <c r="G40"/>
  <c r="G38"/>
  <c r="G31"/>
  <c r="G19"/>
  <c r="G10"/>
  <c r="G77"/>
  <c r="G73"/>
  <c r="G69"/>
  <c r="G65"/>
  <c r="G49"/>
  <c r="G44"/>
  <c r="G39"/>
  <c r="G32"/>
  <c r="G26"/>
  <c r="H9"/>
  <c r="G78"/>
  <c r="G79"/>
  <c r="G28"/>
  <c r="G17"/>
  <c r="G61"/>
  <c r="G57"/>
  <c r="G29"/>
  <c r="G21"/>
  <c r="G62"/>
  <c r="G58"/>
  <c r="G53"/>
  <c r="F53" s="1"/>
  <c r="BC58" i="42"/>
  <c r="G48" i="53"/>
  <c r="G45"/>
  <c r="G41"/>
  <c r="G35"/>
  <c r="G33"/>
  <c r="G64"/>
  <c r="G47"/>
  <c r="G43"/>
  <c r="G37"/>
  <c r="G34"/>
  <c r="G25"/>
  <c r="G20"/>
  <c r="G12"/>
  <c r="G75"/>
  <c r="G71"/>
  <c r="G54"/>
  <c r="G51"/>
  <c r="F51" s="1"/>
  <c r="BC56" i="42"/>
  <c r="G46" i="53"/>
  <c r="G30"/>
  <c r="G15"/>
  <c r="G13"/>
  <c r="G70"/>
  <c r="G66"/>
  <c r="G63"/>
  <c r="G59"/>
  <c r="G55"/>
  <c r="G42"/>
  <c r="G36"/>
  <c r="G27"/>
  <c r="G24"/>
  <c r="G22"/>
  <c r="G18"/>
  <c r="G11"/>
  <c r="G80"/>
  <c r="J18" i="44"/>
  <c r="J14"/>
  <c r="K52"/>
  <c r="J51"/>
  <c r="J22"/>
  <c r="K31"/>
  <c r="K32"/>
  <c r="K21"/>
  <c r="K48"/>
  <c r="J53"/>
  <c r="K36"/>
  <c r="J41"/>
  <c r="J32"/>
  <c r="K40"/>
  <c r="K30"/>
  <c r="J44"/>
  <c r="K23"/>
  <c r="J36"/>
  <c r="J33"/>
  <c r="K38"/>
  <c r="K37"/>
  <c r="J35"/>
  <c r="J43"/>
  <c r="K46"/>
  <c r="K19"/>
  <c r="K16"/>
  <c r="J23"/>
  <c r="J39"/>
  <c r="K42"/>
  <c r="J38"/>
  <c r="J46"/>
  <c r="K34"/>
  <c r="K41"/>
  <c r="K45"/>
  <c r="J19"/>
  <c r="K15"/>
  <c r="J16"/>
  <c r="K53"/>
  <c r="J42"/>
  <c r="K44"/>
  <c r="K27"/>
  <c r="J15"/>
  <c r="J52"/>
  <c r="J34"/>
  <c r="K33"/>
  <c r="J31"/>
  <c r="K35"/>
  <c r="K43"/>
  <c r="J45"/>
  <c r="J27"/>
  <c r="J21"/>
  <c r="J48"/>
  <c r="K39"/>
  <c r="J40"/>
  <c r="J30"/>
  <c r="K17"/>
  <c r="K18"/>
  <c r="K14"/>
  <c r="K51"/>
  <c r="K22"/>
  <c r="J37"/>
  <c r="J17"/>
  <c r="J24"/>
  <c r="K11"/>
  <c r="K55"/>
  <c r="J11"/>
  <c r="J55"/>
  <c r="K50"/>
  <c r="K12"/>
  <c r="J49"/>
  <c r="K56"/>
  <c r="J12"/>
  <c r="K54"/>
  <c r="K26"/>
  <c r="J54"/>
  <c r="K20"/>
  <c r="J26"/>
  <c r="K13"/>
  <c r="K49"/>
  <c r="J20"/>
  <c r="J13"/>
  <c r="K47"/>
  <c r="J50"/>
  <c r="K24"/>
  <c r="J47"/>
  <c r="J56"/>
  <c r="J28"/>
  <c r="F15" i="45"/>
  <c r="AV22" i="42"/>
  <c r="P17" i="53" s="1"/>
  <c r="F31" i="45"/>
  <c r="AV38" i="42"/>
  <c r="P33" i="53" s="1"/>
  <c r="F42" i="45"/>
  <c r="AV49" i="42"/>
  <c r="P44" i="53" s="1"/>
  <c r="F57" i="45"/>
  <c r="AV64" i="42"/>
  <c r="P59" i="53" s="1"/>
  <c r="F68" i="45"/>
  <c r="AV75" i="42"/>
  <c r="P70" i="53" s="1"/>
  <c r="E24" i="45"/>
  <c r="AU31" i="42"/>
  <c r="O26" i="53" s="1"/>
  <c r="E35" i="45"/>
  <c r="AU42" i="42"/>
  <c r="O37" i="53" s="1"/>
  <c r="E47" i="45"/>
  <c r="AU54" i="42"/>
  <c r="O49" i="53" s="1"/>
  <c r="AU67" i="42"/>
  <c r="O62" i="53" s="1"/>
  <c r="E75" i="45"/>
  <c r="AU82" i="42"/>
  <c r="O77" i="53" s="1"/>
  <c r="F8" i="45"/>
  <c r="AV15" i="42"/>
  <c r="P10" i="53" s="1"/>
  <c r="F12" i="45"/>
  <c r="AV19" i="42"/>
  <c r="P14" i="53" s="1"/>
  <c r="F16" i="45"/>
  <c r="AV23" i="42"/>
  <c r="P18" i="53" s="1"/>
  <c r="F20" i="45"/>
  <c r="AV27" i="42"/>
  <c r="P22" i="53" s="1"/>
  <c r="F24" i="45"/>
  <c r="AV31" i="42"/>
  <c r="P26" i="53" s="1"/>
  <c r="F28" i="45"/>
  <c r="AV35" i="42"/>
  <c r="P30" i="53" s="1"/>
  <c r="F32" i="45"/>
  <c r="AV39" i="42"/>
  <c r="P34" i="53" s="1"/>
  <c r="F36" i="45"/>
  <c r="AV43" i="42"/>
  <c r="P38" i="53" s="1"/>
  <c r="F40" i="45"/>
  <c r="AV47" i="42"/>
  <c r="P42" i="53" s="1"/>
  <c r="F46" i="45"/>
  <c r="AV53" i="42"/>
  <c r="P48" i="53" s="1"/>
  <c r="F54" i="45"/>
  <c r="AV61" i="42"/>
  <c r="P56" i="53" s="1"/>
  <c r="F58" i="45"/>
  <c r="AV65" i="42"/>
  <c r="P60" i="53" s="1"/>
  <c r="F62" i="45"/>
  <c r="AV69" i="42"/>
  <c r="P64" i="53" s="1"/>
  <c r="AV72" i="42"/>
  <c r="P67" i="53" s="1"/>
  <c r="AV76" i="42"/>
  <c r="P71" i="53" s="1"/>
  <c r="AV79" i="42"/>
  <c r="P74" i="53" s="1"/>
  <c r="F76" i="45"/>
  <c r="AV83" i="42"/>
  <c r="P78" i="53" s="1"/>
  <c r="E11" i="45"/>
  <c r="AU18" i="42"/>
  <c r="O13" i="53" s="1"/>
  <c r="E14" i="45"/>
  <c r="AU21" i="42"/>
  <c r="O16" i="53" s="1"/>
  <c r="E17" i="45"/>
  <c r="AU24" i="42"/>
  <c r="O19" i="53" s="1"/>
  <c r="E21" i="45"/>
  <c r="AU28" i="42"/>
  <c r="O23" i="53" s="1"/>
  <c r="E28" i="45"/>
  <c r="AU35" i="42"/>
  <c r="O30" i="53" s="1"/>
  <c r="E32" i="45"/>
  <c r="AU39" i="42"/>
  <c r="O34" i="53" s="1"/>
  <c r="E36" i="45"/>
  <c r="AU43" i="42"/>
  <c r="O38" i="53" s="1"/>
  <c r="E40" i="45"/>
  <c r="AU47" i="42"/>
  <c r="O42" i="53" s="1"/>
  <c r="E44" i="45"/>
  <c r="AU51" i="42"/>
  <c r="O46" i="53" s="1"/>
  <c r="E48" i="45"/>
  <c r="AU55" i="42"/>
  <c r="O50" i="53" s="1"/>
  <c r="AU60" i="42"/>
  <c r="O55" i="53" s="1"/>
  <c r="E57" i="45"/>
  <c r="AU64" i="42"/>
  <c r="O59" i="53" s="1"/>
  <c r="E61" i="45"/>
  <c r="AU68" i="42"/>
  <c r="O63" i="53" s="1"/>
  <c r="AU72" i="42"/>
  <c r="O67" i="53" s="1"/>
  <c r="AU76" i="42"/>
  <c r="O71" i="53" s="1"/>
  <c r="J311" i="44"/>
  <c r="AU79" i="42"/>
  <c r="O74" i="53" s="1"/>
  <c r="E76" i="45"/>
  <c r="AU83" i="42"/>
  <c r="O78" i="53" s="1"/>
  <c r="F11" i="45"/>
  <c r="AV18" i="42"/>
  <c r="P13" i="53" s="1"/>
  <c r="F23" i="45"/>
  <c r="AV30" i="42"/>
  <c r="P25" i="53" s="1"/>
  <c r="F35" i="45"/>
  <c r="AV42" i="42"/>
  <c r="P37" i="53" s="1"/>
  <c r="F45" i="45"/>
  <c r="AV52" i="42"/>
  <c r="P47" i="53" s="1"/>
  <c r="F61" i="45"/>
  <c r="AV68" i="42"/>
  <c r="P63" i="53" s="1"/>
  <c r="F71" i="45"/>
  <c r="AV78" i="42"/>
  <c r="P73" i="53" s="1"/>
  <c r="E10" i="45"/>
  <c r="AU17" i="42"/>
  <c r="O12" i="53" s="1"/>
  <c r="E20" i="45"/>
  <c r="AU27" i="42"/>
  <c r="O22" i="53" s="1"/>
  <c r="E31" i="45"/>
  <c r="AU38" i="42"/>
  <c r="O33" i="53" s="1"/>
  <c r="E43" i="45"/>
  <c r="AU50" i="42"/>
  <c r="O45" i="53" s="1"/>
  <c r="AU63" i="42"/>
  <c r="O58" i="53" s="1"/>
  <c r="E68" i="45"/>
  <c r="AU75" i="42"/>
  <c r="O70" i="53" s="1"/>
  <c r="F9" i="45"/>
  <c r="P11" i="53"/>
  <c r="F13" i="45"/>
  <c r="AV20" i="42"/>
  <c r="P15" i="53" s="1"/>
  <c r="F17" i="45"/>
  <c r="AV24" i="42"/>
  <c r="P19" i="53" s="1"/>
  <c r="F21" i="45"/>
  <c r="AV28" i="42"/>
  <c r="P23" i="53" s="1"/>
  <c r="F25" i="45"/>
  <c r="AV32" i="42"/>
  <c r="P27" i="53" s="1"/>
  <c r="F29" i="45"/>
  <c r="AV36" i="42"/>
  <c r="P31" i="53" s="1"/>
  <c r="F33" i="45"/>
  <c r="AV40" i="42"/>
  <c r="P35" i="53" s="1"/>
  <c r="F37" i="45"/>
  <c r="AV44" i="42"/>
  <c r="P39" i="53" s="1"/>
  <c r="F43" i="45"/>
  <c r="AV50" i="42"/>
  <c r="P45" i="53" s="1"/>
  <c r="F47" i="45"/>
  <c r="AV54" i="42"/>
  <c r="P49" i="53" s="1"/>
  <c r="F52" i="45"/>
  <c r="P54" i="53"/>
  <c r="AV62" i="42"/>
  <c r="P57" i="53" s="1"/>
  <c r="AV66" i="42"/>
  <c r="P61" i="53" s="1"/>
  <c r="F66" i="45"/>
  <c r="AV73" i="42"/>
  <c r="P68" i="53" s="1"/>
  <c r="AV80" i="42"/>
  <c r="P75" i="53" s="1"/>
  <c r="Q65" i="29"/>
  <c r="AV84" i="42"/>
  <c r="P79" i="53" s="1"/>
  <c r="E8" i="45"/>
  <c r="AU15" i="42"/>
  <c r="O10" i="53" s="1"/>
  <c r="E12" i="45"/>
  <c r="AU19" i="42"/>
  <c r="O14" i="53" s="1"/>
  <c r="E15" i="45"/>
  <c r="AU22" i="42"/>
  <c r="O17" i="53" s="1"/>
  <c r="E18" i="45"/>
  <c r="AU25" i="42"/>
  <c r="O20" i="53" s="1"/>
  <c r="AU29" i="42"/>
  <c r="O24" i="53" s="1"/>
  <c r="E25" i="45"/>
  <c r="AU32" i="42"/>
  <c r="O27" i="53" s="1"/>
  <c r="E29" i="45"/>
  <c r="AU36" i="42"/>
  <c r="O31" i="53" s="1"/>
  <c r="E33" i="45"/>
  <c r="AU40" i="42"/>
  <c r="O35" i="53" s="1"/>
  <c r="E37" i="45"/>
  <c r="AU44" i="42"/>
  <c r="O39" i="53" s="1"/>
  <c r="E41" i="45"/>
  <c r="AU48" i="42"/>
  <c r="O43" i="53" s="1"/>
  <c r="E45" i="45"/>
  <c r="AU52" i="42"/>
  <c r="O47" i="53" s="1"/>
  <c r="E54" i="45"/>
  <c r="AU61" i="42"/>
  <c r="O56" i="53" s="1"/>
  <c r="E58" i="45"/>
  <c r="AU65" i="42"/>
  <c r="O60" i="53" s="1"/>
  <c r="E62" i="45"/>
  <c r="AU69" i="42"/>
  <c r="O64" i="53" s="1"/>
  <c r="E66" i="45"/>
  <c r="AU73" i="42"/>
  <c r="O68" i="53" s="1"/>
  <c r="J347" i="44"/>
  <c r="AU77" i="42"/>
  <c r="O72" i="53" s="1"/>
  <c r="AU80" i="42"/>
  <c r="O75" i="53" s="1"/>
  <c r="P65" i="29"/>
  <c r="AU84" i="42"/>
  <c r="O79" i="53" s="1"/>
  <c r="F7" i="45"/>
  <c r="P9" i="53"/>
  <c r="F19" i="45"/>
  <c r="AV26" i="42"/>
  <c r="P21" i="53" s="1"/>
  <c r="F27" i="45"/>
  <c r="AV34" i="42"/>
  <c r="P29" i="53" s="1"/>
  <c r="F39" i="45"/>
  <c r="AV46" i="42"/>
  <c r="P41" i="53" s="1"/>
  <c r="F53" i="45"/>
  <c r="AV60" i="42"/>
  <c r="P55" i="53" s="1"/>
  <c r="K366" i="44"/>
  <c r="AV71" i="42"/>
  <c r="P66" i="53" s="1"/>
  <c r="F75" i="45"/>
  <c r="AV82" i="42"/>
  <c r="P77" i="53" s="1"/>
  <c r="E7" i="45"/>
  <c r="O9" i="53"/>
  <c r="E16" i="45"/>
  <c r="AU23" i="42"/>
  <c r="O18" i="53" s="1"/>
  <c r="E27" i="45"/>
  <c r="AU34" i="42"/>
  <c r="O29" i="53" s="1"/>
  <c r="E39" i="45"/>
  <c r="AU46" i="42"/>
  <c r="O41" i="53" s="1"/>
  <c r="E52" i="45"/>
  <c r="AU59" i="42"/>
  <c r="O54" i="53" s="1"/>
  <c r="J366" i="44"/>
  <c r="AU71" i="42"/>
  <c r="O66" i="53" s="1"/>
  <c r="F10" i="45"/>
  <c r="AV17" i="42"/>
  <c r="P12" i="53" s="1"/>
  <c r="F14" i="45"/>
  <c r="AV21" i="42"/>
  <c r="P16" i="53" s="1"/>
  <c r="F18" i="45"/>
  <c r="AV25" i="42"/>
  <c r="P20" i="53" s="1"/>
  <c r="AV29" i="42"/>
  <c r="P24" i="53" s="1"/>
  <c r="F26" i="45"/>
  <c r="AV33" i="42"/>
  <c r="P28" i="53" s="1"/>
  <c r="AV37" i="42"/>
  <c r="P32" i="53" s="1"/>
  <c r="F34" i="45"/>
  <c r="AV41" i="42"/>
  <c r="P36" i="53" s="1"/>
  <c r="F38" i="45"/>
  <c r="AV45" i="42"/>
  <c r="P40" i="53" s="1"/>
  <c r="F41" i="45"/>
  <c r="AV48" i="42"/>
  <c r="P43" i="53" s="1"/>
  <c r="F44" i="45"/>
  <c r="AV51" i="42"/>
  <c r="P46" i="53" s="1"/>
  <c r="F48" i="45"/>
  <c r="AV55" i="42"/>
  <c r="P50" i="53" s="1"/>
  <c r="Q17" i="29"/>
  <c r="F56" i="45"/>
  <c r="AV63" i="42"/>
  <c r="P58" i="53" s="1"/>
  <c r="AV67" i="42"/>
  <c r="P62" i="53" s="1"/>
  <c r="K365" i="44"/>
  <c r="AV70" i="42"/>
  <c r="P65" i="53" s="1"/>
  <c r="F67" i="45"/>
  <c r="AV74" i="42"/>
  <c r="P69" i="53" s="1"/>
  <c r="AV77" i="42"/>
  <c r="P72" i="53" s="1"/>
  <c r="F74" i="45"/>
  <c r="AV81" i="42"/>
  <c r="P76" i="53" s="1"/>
  <c r="F78" i="45"/>
  <c r="AV85" i="42"/>
  <c r="P80" i="53" s="1"/>
  <c r="E9" i="45"/>
  <c r="AU16" i="42"/>
  <c r="O11" i="53" s="1"/>
  <c r="E13" i="45"/>
  <c r="AU20" i="42"/>
  <c r="O15" i="53" s="1"/>
  <c r="P29" i="29"/>
  <c r="E19" i="45"/>
  <c r="AU26" i="42"/>
  <c r="O21" i="53" s="1"/>
  <c r="E23" i="45"/>
  <c r="AU30" i="42"/>
  <c r="O25" i="53" s="1"/>
  <c r="E26" i="45"/>
  <c r="AU33" i="42"/>
  <c r="O28" i="53" s="1"/>
  <c r="AU37" i="42"/>
  <c r="O32" i="53" s="1"/>
  <c r="E34" i="45"/>
  <c r="AU41" i="42"/>
  <c r="O36" i="53" s="1"/>
  <c r="E38" i="45"/>
  <c r="AU45" i="42"/>
  <c r="O40" i="53" s="1"/>
  <c r="E42" i="45"/>
  <c r="AU49" i="42"/>
  <c r="O44" i="53" s="1"/>
  <c r="E46" i="45"/>
  <c r="AU53" i="42"/>
  <c r="O48" i="53" s="1"/>
  <c r="E55" i="45"/>
  <c r="AU62" i="42"/>
  <c r="O57" i="53" s="1"/>
  <c r="AU66" i="42"/>
  <c r="O61" i="53" s="1"/>
  <c r="J365" i="44"/>
  <c r="AU70" i="42"/>
  <c r="O65" i="53" s="1"/>
  <c r="E67" i="45"/>
  <c r="AU74" i="42"/>
  <c r="O69" i="53" s="1"/>
  <c r="E71" i="45"/>
  <c r="AU78" i="42"/>
  <c r="O73" i="53" s="1"/>
  <c r="E74" i="45"/>
  <c r="AU81" i="42"/>
  <c r="O76" i="53" s="1"/>
  <c r="E78" i="45"/>
  <c r="AU85" i="42"/>
  <c r="O80" i="53" s="1"/>
  <c r="K28" i="44"/>
  <c r="J25"/>
  <c r="K25"/>
  <c r="Q16" i="29"/>
  <c r="Q52"/>
  <c r="P27"/>
  <c r="P38"/>
  <c r="P23"/>
  <c r="Q12"/>
  <c r="Q53"/>
  <c r="P42"/>
  <c r="P28"/>
  <c r="P36"/>
  <c r="P9"/>
  <c r="Q27"/>
  <c r="Q38"/>
  <c r="P13"/>
  <c r="P62"/>
  <c r="Q41"/>
  <c r="Q40"/>
  <c r="Q34"/>
  <c r="Q30"/>
  <c r="Q31"/>
  <c r="Q19"/>
  <c r="Q48"/>
  <c r="Q9"/>
  <c r="P48"/>
  <c r="P11"/>
  <c r="P16"/>
  <c r="P51"/>
  <c r="Q14"/>
  <c r="Q10"/>
  <c r="P20"/>
  <c r="Q42"/>
  <c r="Q37"/>
  <c r="Q28"/>
  <c r="Q33"/>
  <c r="Q47"/>
  <c r="Q51"/>
  <c r="Q46"/>
  <c r="Q21"/>
  <c r="P24"/>
  <c r="P41"/>
  <c r="P43"/>
  <c r="P40"/>
  <c r="P32"/>
  <c r="P34"/>
  <c r="P35"/>
  <c r="P30"/>
  <c r="P39"/>
  <c r="P33"/>
  <c r="P50"/>
  <c r="P45"/>
  <c r="P18"/>
  <c r="P17"/>
  <c r="P52"/>
  <c r="Q29"/>
  <c r="Q39"/>
  <c r="P15"/>
  <c r="P53"/>
  <c r="Q24"/>
  <c r="Q43"/>
  <c r="Q32"/>
  <c r="Q35"/>
  <c r="Q36"/>
  <c r="Q20"/>
  <c r="Q50"/>
  <c r="Q13"/>
  <c r="Q45"/>
  <c r="Q15"/>
  <c r="Q18"/>
  <c r="Q8"/>
  <c r="Q23"/>
  <c r="P19"/>
  <c r="P49"/>
  <c r="P12"/>
  <c r="P47"/>
  <c r="P46"/>
  <c r="P44"/>
  <c r="P10"/>
  <c r="P21"/>
  <c r="E59" i="45" l="1"/>
  <c r="J363" i="44"/>
  <c r="E30" i="45"/>
  <c r="J362" i="44"/>
  <c r="J58" i="45" s="1"/>
  <c r="F30"/>
  <c r="K362" i="44"/>
  <c r="E22" i="45"/>
  <c r="J361" i="44"/>
  <c r="F59" i="45"/>
  <c r="K363" i="44"/>
  <c r="F65" i="45"/>
  <c r="K367" i="44"/>
  <c r="K63" i="45" s="1"/>
  <c r="E65"/>
  <c r="J367" i="44"/>
  <c r="F22" i="45"/>
  <c r="K361" i="44"/>
  <c r="K57" i="45" s="1"/>
  <c r="F428" i="44"/>
  <c r="E428"/>
  <c r="E204"/>
  <c r="E429"/>
  <c r="F429"/>
  <c r="F80" i="53"/>
  <c r="F55"/>
  <c r="F70"/>
  <c r="F46"/>
  <c r="F25"/>
  <c r="F41"/>
  <c r="F29"/>
  <c r="F26"/>
  <c r="F49"/>
  <c r="F77"/>
  <c r="F38"/>
  <c r="F22"/>
  <c r="F42"/>
  <c r="F66"/>
  <c r="F30"/>
  <c r="F54"/>
  <c r="F20"/>
  <c r="F43"/>
  <c r="F35"/>
  <c r="F21"/>
  <c r="F17"/>
  <c r="F9"/>
  <c r="F44"/>
  <c r="F73"/>
  <c r="F31"/>
  <c r="F72"/>
  <c r="F23"/>
  <c r="F56"/>
  <c r="F71"/>
  <c r="F47"/>
  <c r="F28"/>
  <c r="F76"/>
  <c r="F50"/>
  <c r="F11"/>
  <c r="F27"/>
  <c r="F59"/>
  <c r="F13"/>
  <c r="F75"/>
  <c r="F34"/>
  <c r="F64"/>
  <c r="F45"/>
  <c r="F58"/>
  <c r="F57"/>
  <c r="F79"/>
  <c r="F32"/>
  <c r="F65"/>
  <c r="F10"/>
  <c r="F40"/>
  <c r="F14"/>
  <c r="F67"/>
  <c r="F24"/>
  <c r="F60"/>
  <c r="F18"/>
  <c r="F36"/>
  <c r="F63"/>
  <c r="F15"/>
  <c r="F12"/>
  <c r="F37"/>
  <c r="F33"/>
  <c r="F48"/>
  <c r="F62"/>
  <c r="F61"/>
  <c r="F78"/>
  <c r="F39"/>
  <c r="F69"/>
  <c r="F19"/>
  <c r="F68"/>
  <c r="F16"/>
  <c r="F74"/>
  <c r="BC85" i="42"/>
  <c r="BC23"/>
  <c r="BC29"/>
  <c r="BC41"/>
  <c r="BC60"/>
  <c r="BC68"/>
  <c r="BC75"/>
  <c r="BC20"/>
  <c r="BC51"/>
  <c r="BC59"/>
  <c r="BC80"/>
  <c r="BC25"/>
  <c r="BC39"/>
  <c r="BC48"/>
  <c r="BC69"/>
  <c r="BC40"/>
  <c r="BC50"/>
  <c r="BC67"/>
  <c r="BC34"/>
  <c r="BC66"/>
  <c r="BC33"/>
  <c r="BC83"/>
  <c r="BC31"/>
  <c r="BC44"/>
  <c r="BC54"/>
  <c r="BC74"/>
  <c r="BC82"/>
  <c r="BC24"/>
  <c r="BC43"/>
  <c r="BC73"/>
  <c r="BC81"/>
  <c r="BC21"/>
  <c r="BC55"/>
  <c r="BC61"/>
  <c r="BC72"/>
  <c r="BC16"/>
  <c r="BC27"/>
  <c r="BC32"/>
  <c r="BC47"/>
  <c r="BC64"/>
  <c r="BC71"/>
  <c r="BC18"/>
  <c r="BC35"/>
  <c r="BC76"/>
  <c r="BC17"/>
  <c r="BC30"/>
  <c r="BC42"/>
  <c r="BC52"/>
  <c r="BC38"/>
  <c r="BC46"/>
  <c r="BC53"/>
  <c r="BC63"/>
  <c r="BC26"/>
  <c r="BC62"/>
  <c r="BC22"/>
  <c r="BC84"/>
  <c r="BC37"/>
  <c r="BC49"/>
  <c r="BC70"/>
  <c r="BC78"/>
  <c r="BC15"/>
  <c r="BC36"/>
  <c r="BC45"/>
  <c r="BC77"/>
  <c r="BC19"/>
  <c r="BC28"/>
  <c r="BC65"/>
  <c r="BC79"/>
  <c r="J64" i="45"/>
  <c r="K356" i="44"/>
  <c r="K52" i="45" s="1"/>
  <c r="F55"/>
  <c r="J354" i="44"/>
  <c r="J50" i="45" s="1"/>
  <c r="E56"/>
  <c r="J320" i="44"/>
  <c r="J16" i="45" s="1"/>
  <c r="E53"/>
  <c r="K64"/>
  <c r="J355" i="44"/>
  <c r="J51" i="45" s="1"/>
  <c r="K349" i="44"/>
  <c r="K45" i="45" s="1"/>
  <c r="K326" i="44"/>
  <c r="K22" i="45" s="1"/>
  <c r="K347" i="44"/>
  <c r="K354"/>
  <c r="K50" i="45" s="1"/>
  <c r="K311" i="44"/>
  <c r="K324"/>
  <c r="K20" i="45" s="1"/>
  <c r="J326" i="44"/>
  <c r="J22" i="45" s="1"/>
  <c r="K350" i="44"/>
  <c r="K46" i="45" s="1"/>
  <c r="J324" i="44"/>
  <c r="J20" i="45" s="1"/>
  <c r="K320" i="44"/>
  <c r="K16" i="45" s="1"/>
  <c r="K355" i="44"/>
  <c r="K51" i="45" s="1"/>
  <c r="J356" i="44"/>
  <c r="J52" i="45" s="1"/>
  <c r="J313" i="44"/>
  <c r="J349"/>
  <c r="J45" i="45" s="1"/>
  <c r="K312" i="44"/>
  <c r="K8" i="45" s="1"/>
  <c r="K313" i="44"/>
  <c r="J312"/>
  <c r="J8" i="45" s="1"/>
  <c r="J350" i="44"/>
  <c r="J46" i="45" s="1"/>
  <c r="J63"/>
  <c r="J344" i="44"/>
  <c r="J40" i="45" s="1"/>
  <c r="J345" i="44"/>
  <c r="J41" i="45" s="1"/>
  <c r="K346" i="44"/>
  <c r="K42" i="45" s="1"/>
  <c r="J321" i="44"/>
  <c r="J17" i="45" s="1"/>
  <c r="J353" i="44"/>
  <c r="J49" i="45" s="1"/>
  <c r="K328" i="44"/>
  <c r="K24" i="45" s="1"/>
  <c r="K318" i="44"/>
  <c r="K14" i="45" s="1"/>
  <c r="K341" i="44"/>
  <c r="K37" i="45" s="1"/>
  <c r="J325" i="44"/>
  <c r="J21" i="45" s="1"/>
  <c r="J318" i="44"/>
  <c r="J14" i="45" s="1"/>
  <c r="J323" i="44"/>
  <c r="J19" i="45" s="1"/>
  <c r="K321" i="44"/>
  <c r="K17" i="45" s="1"/>
  <c r="K352" i="44"/>
  <c r="K48" i="45" s="1"/>
  <c r="K336" i="44"/>
  <c r="K32" i="45" s="1"/>
  <c r="K331" i="44"/>
  <c r="K27" i="45" s="1"/>
  <c r="K345" i="44"/>
  <c r="K41" i="45" s="1"/>
  <c r="J339" i="44"/>
  <c r="J35" i="45" s="1"/>
  <c r="J327" i="44"/>
  <c r="J23" i="45" s="1"/>
  <c r="K351" i="44"/>
  <c r="K47" i="45" s="1"/>
  <c r="K338" i="44"/>
  <c r="K34" i="45" s="1"/>
  <c r="J352" i="44"/>
  <c r="J48" i="45" s="1"/>
  <c r="J334" i="44"/>
  <c r="J30" i="45" s="1"/>
  <c r="J331" i="44"/>
  <c r="J27" i="45" s="1"/>
  <c r="J330" i="44"/>
  <c r="J26" i="45" s="1"/>
  <c r="K314" i="44"/>
  <c r="K10" i="45" s="1"/>
  <c r="K334" i="44"/>
  <c r="K30" i="45" s="1"/>
  <c r="K337" i="44"/>
  <c r="K33" i="45" s="1"/>
  <c r="K344" i="44"/>
  <c r="K40" i="45" s="1"/>
  <c r="J343" i="44"/>
  <c r="J39" i="45" s="1"/>
  <c r="K325" i="44"/>
  <c r="K21" i="45" s="1"/>
  <c r="K319" i="44"/>
  <c r="K15" i="45" s="1"/>
  <c r="K322" i="44"/>
  <c r="K18" i="45" s="1"/>
  <c r="K333" i="44"/>
  <c r="K29" i="45" s="1"/>
  <c r="K343" i="44"/>
  <c r="K39" i="45" s="1"/>
  <c r="J314" i="44"/>
  <c r="J10" i="45" s="1"/>
  <c r="J341" i="44"/>
  <c r="J37" i="45" s="1"/>
  <c r="K315" i="44"/>
  <c r="K11" i="45" s="1"/>
  <c r="J328" i="44"/>
  <c r="J24" i="45" s="1"/>
  <c r="J348" i="44"/>
  <c r="J44" i="45" s="1"/>
  <c r="J337" i="44"/>
  <c r="J33" i="45" s="1"/>
  <c r="J346" i="44"/>
  <c r="J42" i="45" s="1"/>
  <c r="K353" i="44"/>
  <c r="K49" i="45" s="1"/>
  <c r="K342" i="44"/>
  <c r="K38" i="45" s="1"/>
  <c r="K332" i="44"/>
  <c r="K28" i="45" s="1"/>
  <c r="K317" i="44"/>
  <c r="K13" i="45" s="1"/>
  <c r="J319" i="44"/>
  <c r="J15" i="45" s="1"/>
  <c r="J342" i="44"/>
  <c r="J38" i="45" s="1"/>
  <c r="K316" i="44"/>
  <c r="K12" i="45" s="1"/>
  <c r="K335" i="44"/>
  <c r="K31" i="45" s="1"/>
  <c r="J333" i="44"/>
  <c r="J29" i="45" s="1"/>
  <c r="J340" i="44"/>
  <c r="J36" i="45" s="1"/>
  <c r="K330" i="44"/>
  <c r="K26" i="45" s="1"/>
  <c r="J316" i="44"/>
  <c r="J12" i="45" s="1"/>
  <c r="J336" i="44"/>
  <c r="J32" i="45" s="1"/>
  <c r="J338" i="44"/>
  <c r="J34" i="45" s="1"/>
  <c r="K348" i="44"/>
  <c r="K44" i="45" s="1"/>
  <c r="K323" i="44"/>
  <c r="K19" i="45" s="1"/>
  <c r="K58"/>
  <c r="K340" i="44"/>
  <c r="K36" i="45" s="1"/>
  <c r="J351" i="44"/>
  <c r="J47" i="45" s="1"/>
  <c r="J332" i="44"/>
  <c r="J28" i="45" s="1"/>
  <c r="K339" i="44"/>
  <c r="K35" i="45" s="1"/>
  <c r="K327" i="44"/>
  <c r="K23" i="45" s="1"/>
  <c r="J315" i="44"/>
  <c r="J11" i="45" s="1"/>
  <c r="J322" i="44"/>
  <c r="J18" i="45" s="1"/>
  <c r="J57"/>
  <c r="J335" i="44"/>
  <c r="J31" i="45" s="1"/>
  <c r="J317" i="44"/>
  <c r="J13" i="45" s="1"/>
  <c r="L18" l="1"/>
  <c r="F599" i="44"/>
  <c r="E449"/>
  <c r="E599"/>
  <c r="E224"/>
  <c r="F224"/>
  <c r="J439"/>
  <c r="F589"/>
  <c r="K588" s="1"/>
  <c r="K59" i="45" s="1"/>
  <c r="E589" i="44"/>
  <c r="J588" s="1"/>
  <c r="J59" i="45" s="1"/>
  <c r="K439" i="44"/>
  <c r="E218"/>
  <c r="F218"/>
  <c r="L32" i="45"/>
  <c r="L29"/>
  <c r="L22"/>
  <c r="L33"/>
  <c r="L13"/>
  <c r="L45"/>
  <c r="L46"/>
  <c r="L64"/>
  <c r="L14"/>
  <c r="L11"/>
  <c r="L34"/>
  <c r="L47"/>
  <c r="L35"/>
  <c r="L58"/>
  <c r="L49"/>
  <c r="L31"/>
  <c r="L36"/>
  <c r="L38"/>
  <c r="L19"/>
  <c r="L17"/>
  <c r="L41"/>
  <c r="L20"/>
  <c r="L30"/>
  <c r="L26"/>
  <c r="L51"/>
  <c r="L42"/>
  <c r="L39"/>
  <c r="L27"/>
  <c r="L40"/>
  <c r="L50"/>
  <c r="L57"/>
  <c r="L12"/>
  <c r="L15"/>
  <c r="L37"/>
  <c r="L63"/>
  <c r="L28"/>
  <c r="L44"/>
  <c r="L10"/>
  <c r="L48"/>
  <c r="L23"/>
  <c r="L21"/>
  <c r="L8"/>
  <c r="L52"/>
  <c r="L16"/>
  <c r="L24"/>
  <c r="E151" i="44"/>
  <c r="F151"/>
  <c r="F152"/>
  <c r="E152"/>
  <c r="E129"/>
  <c r="F204"/>
  <c r="F129"/>
  <c r="E128"/>
  <c r="F128"/>
  <c r="F203"/>
  <c r="K214" s="1"/>
  <c r="E203"/>
  <c r="J214" s="1"/>
  <c r="F449"/>
  <c r="E353"/>
  <c r="F354"/>
  <c r="E354"/>
  <c r="F353"/>
  <c r="F60" i="45" l="1"/>
  <c r="L59"/>
  <c r="K364" i="44"/>
  <c r="E60" i="45"/>
  <c r="J364" i="44"/>
  <c r="K216"/>
  <c r="K62" i="45" s="1"/>
  <c r="F64"/>
  <c r="J216" i="44"/>
  <c r="J62" i="45" s="1"/>
  <c r="E64"/>
  <c r="J140" i="44"/>
  <c r="J61" i="45" s="1"/>
  <c r="E63"/>
  <c r="K88" i="44"/>
  <c r="K9" i="45" s="1"/>
  <c r="F73"/>
  <c r="J139" i="44"/>
  <c r="K140"/>
  <c r="K61" i="45" s="1"/>
  <c r="F63"/>
  <c r="E50"/>
  <c r="K86" i="44"/>
  <c r="K7" i="45" s="1"/>
  <c r="F72"/>
  <c r="F70"/>
  <c r="K139" i="44"/>
  <c r="F49" i="45"/>
  <c r="F50"/>
  <c r="J88" i="44"/>
  <c r="J9" i="45" s="1"/>
  <c r="E73"/>
  <c r="J86" i="44"/>
  <c r="J7" i="45" s="1"/>
  <c r="E72"/>
  <c r="J422" i="44"/>
  <c r="K422"/>
  <c r="J197"/>
  <c r="K197"/>
  <c r="K572"/>
  <c r="J572"/>
  <c r="L62" i="45" l="1"/>
  <c r="K43"/>
  <c r="L9"/>
  <c r="J43"/>
  <c r="E49"/>
  <c r="L7"/>
  <c r="L61"/>
  <c r="K60"/>
  <c r="J60"/>
  <c r="E70"/>
  <c r="L43" l="1"/>
  <c r="L2" s="1"/>
  <c r="L60"/>
  <c r="L3" l="1"/>
</calcChain>
</file>

<file path=xl/comments1.xml><?xml version="1.0" encoding="utf-8"?>
<comments xmlns="http://schemas.openxmlformats.org/spreadsheetml/2006/main">
  <authors>
    <author>Joe Pickin</author>
  </authors>
  <commentList>
    <comment ref="B37" authorId="0">
      <text>
        <r>
          <rPr>
            <b/>
            <sz val="9"/>
            <color indexed="81"/>
            <rFont val="Tahoma"/>
            <family val="2"/>
          </rPr>
          <t>Joe Pickin:</t>
        </r>
        <r>
          <rPr>
            <sz val="9"/>
            <color indexed="81"/>
            <rFont val="Tahoma"/>
            <family val="2"/>
          </rPr>
          <t xml:space="preserve">
Not listed as a regulated waste but tracking data provided. Waste description assumed, based on Victoria</t>
        </r>
      </text>
    </comment>
  </commentList>
</comments>
</file>

<file path=xl/comments2.xml><?xml version="1.0" encoding="utf-8"?>
<comments xmlns="http://schemas.openxmlformats.org/spreadsheetml/2006/main">
  <authors>
    <author>Joe Pickin</author>
  </authors>
  <commentList>
    <comment ref="D6" authorId="0">
      <text>
        <r>
          <rPr>
            <b/>
            <sz val="9"/>
            <color indexed="81"/>
            <rFont val="Tahoma"/>
            <family val="2"/>
          </rPr>
          <t>Joe Pickin:</t>
        </r>
        <r>
          <rPr>
            <sz val="9"/>
            <color indexed="81"/>
            <rFont val="Tahoma"/>
            <family val="2"/>
          </rPr>
          <t xml:space="preserve">
Not applicable this year for NT, Qld, SA &amp; Tas, which did not group data six-monthly.</t>
        </r>
      </text>
    </comment>
    <comment ref="D7" authorId="0">
      <text>
        <r>
          <rPr>
            <b/>
            <sz val="9"/>
            <color indexed="81"/>
            <rFont val="Tahoma"/>
            <family val="2"/>
          </rPr>
          <t>Joe Pickin:</t>
        </r>
        <r>
          <rPr>
            <sz val="9"/>
            <color indexed="81"/>
            <rFont val="Tahoma"/>
            <family val="2"/>
          </rPr>
          <t xml:space="preserve">
For NT, Qld, SA &amp; Tas this year, greater than 1000x or less than 0.001x - did not group data six-monthly.</t>
        </r>
      </text>
    </comment>
  </commentList>
</comments>
</file>

<file path=xl/comments3.xml><?xml version="1.0" encoding="utf-8"?>
<comments xmlns="http://schemas.openxmlformats.org/spreadsheetml/2006/main">
  <authors>
    <author>Joe Pickin</author>
  </authors>
  <commentList>
    <comment ref="A14" authorId="0">
      <text>
        <r>
          <rPr>
            <b/>
            <sz val="9"/>
            <color indexed="81"/>
            <rFont val="Tahoma"/>
            <family val="2"/>
          </rPr>
          <t>Joe Pickin:</t>
        </r>
        <r>
          <rPr>
            <sz val="9"/>
            <color indexed="81"/>
            <rFont val="Tahoma"/>
            <family val="2"/>
          </rPr>
          <t xml:space="preserve">
Comprises MSW from street litter bins, litter traps, hard waste, illegal dumping, street sweepings and council roadworks.</t>
        </r>
      </text>
    </comment>
  </commentList>
</comments>
</file>

<file path=xl/comments4.xml><?xml version="1.0" encoding="utf-8"?>
<comments xmlns="http://schemas.openxmlformats.org/spreadsheetml/2006/main">
  <authors>
    <author>Joe Pickin</author>
  </authors>
  <commentList>
    <comment ref="J5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9" authorId="0">
      <text>
        <r>
          <rPr>
            <b/>
            <sz val="9"/>
            <color indexed="81"/>
            <rFont val="Tahoma"/>
            <family val="2"/>
          </rPr>
          <t>Joe Pickin:</t>
        </r>
        <r>
          <rPr>
            <sz val="9"/>
            <color indexed="81"/>
            <rFont val="Tahoma"/>
            <family val="2"/>
          </rPr>
          <t xml:space="preserve">
Negligible incineration of household wastes occurs in Australia</t>
        </r>
      </text>
    </comment>
    <comment ref="K59" authorId="0">
      <text>
        <r>
          <rPr>
            <b/>
            <sz val="9"/>
            <color indexed="81"/>
            <rFont val="Tahoma"/>
            <family val="2"/>
          </rPr>
          <t>Joe Pickin:</t>
        </r>
        <r>
          <rPr>
            <sz val="9"/>
            <color indexed="81"/>
            <rFont val="Tahoma"/>
            <family val="2"/>
          </rPr>
          <t xml:space="preserve">
Negligible incineration of household wastes occurs in Australia</t>
        </r>
      </text>
    </comment>
    <comment ref="E73" authorId="0">
      <text>
        <r>
          <rPr>
            <b/>
            <sz val="9"/>
            <color indexed="81"/>
            <rFont val="Tahoma"/>
            <family val="2"/>
          </rPr>
          <t>Joe Pickin:</t>
        </r>
        <r>
          <rPr>
            <sz val="9"/>
            <color indexed="81"/>
            <rFont val="Tahoma"/>
            <family val="2"/>
          </rPr>
          <t xml:space="preserve">
Added to jurisdiction data: estimate of biosolids. See 'Gap data 2'.</t>
        </r>
      </text>
    </comment>
    <comment ref="F73" authorId="0">
      <text>
        <r>
          <rPr>
            <b/>
            <sz val="9"/>
            <color indexed="81"/>
            <rFont val="Tahoma"/>
            <family val="2"/>
          </rPr>
          <t>Joe Pickin:</t>
        </r>
        <r>
          <rPr>
            <sz val="9"/>
            <color indexed="81"/>
            <rFont val="Tahoma"/>
            <family val="2"/>
          </rPr>
          <t xml:space="preserve">
Added to jurisdiction data: estimate of biosolids. See 'Gap data 2'.</t>
        </r>
      </text>
    </comment>
    <comment ref="E81" authorId="0">
      <text>
        <r>
          <rPr>
            <b/>
            <sz val="9"/>
            <color indexed="81"/>
            <rFont val="Tahoma"/>
            <family val="2"/>
          </rPr>
          <t>Joe Pickin:</t>
        </r>
        <r>
          <rPr>
            <sz val="9"/>
            <color indexed="81"/>
            <rFont val="Tahoma"/>
            <family val="2"/>
          </rPr>
          <t xml:space="preserve">
From COAG report. See gap data 2.</t>
        </r>
      </text>
    </comment>
    <comment ref="F81" authorId="0">
      <text>
        <r>
          <rPr>
            <b/>
            <sz val="9"/>
            <color indexed="81"/>
            <rFont val="Tahoma"/>
            <family val="2"/>
          </rPr>
          <t>Joe Pickin:</t>
        </r>
        <r>
          <rPr>
            <sz val="9"/>
            <color indexed="81"/>
            <rFont val="Tahoma"/>
            <family val="2"/>
          </rPr>
          <t xml:space="preserve">
From COAG report. See gap data 2.</t>
        </r>
      </text>
    </comment>
    <comment ref="E1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2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2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13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13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134" authorId="0">
      <text>
        <r>
          <rPr>
            <b/>
            <sz val="9"/>
            <color indexed="81"/>
            <rFont val="Tahoma"/>
            <family val="2"/>
          </rPr>
          <t>Joe Pickin:</t>
        </r>
        <r>
          <rPr>
            <sz val="9"/>
            <color indexed="81"/>
            <rFont val="Tahoma"/>
            <family val="2"/>
          </rPr>
          <t xml:space="preserve">
Negligible incineration of household wastes occurs in Australia</t>
        </r>
      </text>
    </comment>
    <comment ref="K134" authorId="0">
      <text>
        <r>
          <rPr>
            <b/>
            <sz val="9"/>
            <color indexed="81"/>
            <rFont val="Tahoma"/>
            <family val="2"/>
          </rPr>
          <t>Joe Pickin:</t>
        </r>
        <r>
          <rPr>
            <sz val="9"/>
            <color indexed="81"/>
            <rFont val="Tahoma"/>
            <family val="2"/>
          </rPr>
          <t xml:space="preserve">
Negligible incineration of household wastes occurs in Australia</t>
        </r>
      </text>
    </comment>
    <comment ref="E143" authorId="0">
      <text>
        <r>
          <rPr>
            <b/>
            <sz val="9"/>
            <color indexed="81"/>
            <rFont val="Tahoma"/>
            <family val="2"/>
          </rPr>
          <t>Joe Pickin:</t>
        </r>
        <r>
          <rPr>
            <sz val="9"/>
            <color indexed="81"/>
            <rFont val="Tahoma"/>
            <family val="2"/>
          </rPr>
          <t xml:space="preserve">
From 'Waste generation &amp; resource recovery in Australia'. See 'Gap data'.</t>
        </r>
      </text>
    </comment>
    <comment ref="F143" authorId="0">
      <text>
        <r>
          <rPr>
            <b/>
            <sz val="9"/>
            <color indexed="81"/>
            <rFont val="Tahoma"/>
            <family val="2"/>
          </rPr>
          <t>Joe Pickin:</t>
        </r>
        <r>
          <rPr>
            <sz val="9"/>
            <color indexed="81"/>
            <rFont val="Tahoma"/>
            <family val="2"/>
          </rPr>
          <t xml:space="preserve">
From 'Waste generation &amp; resource recovery in Australia'. See 'Gap data'.</t>
        </r>
      </text>
    </comment>
    <comment ref="E148" authorId="0">
      <text>
        <r>
          <rPr>
            <b/>
            <sz val="9"/>
            <color indexed="81"/>
            <rFont val="Tahoma"/>
            <family val="2"/>
          </rPr>
          <t>Joe Pickin:</t>
        </r>
        <r>
          <rPr>
            <sz val="9"/>
            <color indexed="81"/>
            <rFont val="Tahoma"/>
            <family val="2"/>
          </rPr>
          <t xml:space="preserve">
Added to jurisdiction data: estimate of biosolids. See 'Gap data'.</t>
        </r>
      </text>
    </comment>
    <comment ref="F148" authorId="0">
      <text>
        <r>
          <rPr>
            <b/>
            <sz val="9"/>
            <color indexed="81"/>
            <rFont val="Tahoma"/>
            <family val="2"/>
          </rPr>
          <t>Joe Pickin:</t>
        </r>
        <r>
          <rPr>
            <sz val="9"/>
            <color indexed="81"/>
            <rFont val="Tahoma"/>
            <family val="2"/>
          </rPr>
          <t xml:space="preserve">
Added to jurisdiction data: estimate of biosolids. See 'Gap data 2'.</t>
        </r>
      </text>
    </comment>
    <comment ref="E149" authorId="0">
      <text>
        <r>
          <rPr>
            <b/>
            <sz val="9"/>
            <color indexed="81"/>
            <rFont val="Tahoma"/>
            <family val="2"/>
          </rPr>
          <t>Joe Pickin:</t>
        </r>
        <r>
          <rPr>
            <sz val="9"/>
            <color indexed="81"/>
            <rFont val="Tahoma"/>
            <family val="2"/>
          </rPr>
          <t xml:space="preserve">
From 'Waste generation &amp; resource recovery in Australia'. See 'Gap data 2'.</t>
        </r>
      </text>
    </comment>
    <comment ref="F149" authorId="0">
      <text>
        <r>
          <rPr>
            <b/>
            <sz val="9"/>
            <color indexed="81"/>
            <rFont val="Tahoma"/>
            <family val="2"/>
          </rPr>
          <t>Joe Pickin:</t>
        </r>
        <r>
          <rPr>
            <sz val="9"/>
            <color indexed="81"/>
            <rFont val="Tahoma"/>
            <family val="2"/>
          </rPr>
          <t xml:space="preserve">
From 'Waste generation &amp; resource recovery in Australia'. See 'Gap data'.</t>
        </r>
      </text>
    </comment>
    <comment ref="E151"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51"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5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5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56" authorId="0">
      <text>
        <r>
          <rPr>
            <b/>
            <sz val="9"/>
            <color indexed="81"/>
            <rFont val="Tahoma"/>
            <family val="2"/>
          </rPr>
          <t>Joe Pickin:</t>
        </r>
        <r>
          <rPr>
            <sz val="9"/>
            <color indexed="81"/>
            <rFont val="Tahoma"/>
            <family val="2"/>
          </rPr>
          <t xml:space="preserve">
From COAG report. See gap data 2.</t>
        </r>
      </text>
    </comment>
    <comment ref="F156" authorId="0">
      <text>
        <r>
          <rPr>
            <b/>
            <sz val="9"/>
            <color indexed="81"/>
            <rFont val="Tahoma"/>
            <family val="2"/>
          </rPr>
          <t>Joe Pickin:</t>
        </r>
        <r>
          <rPr>
            <sz val="9"/>
            <color indexed="81"/>
            <rFont val="Tahoma"/>
            <family val="2"/>
          </rPr>
          <t xml:space="preserve">
From COAG report. See gap data 2.</t>
        </r>
      </text>
    </comment>
    <comment ref="E20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0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0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0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0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20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09" authorId="0">
      <text>
        <r>
          <rPr>
            <b/>
            <sz val="9"/>
            <color indexed="81"/>
            <rFont val="Tahoma"/>
            <family val="2"/>
          </rPr>
          <t>Joe Pickin:</t>
        </r>
        <r>
          <rPr>
            <sz val="9"/>
            <color indexed="81"/>
            <rFont val="Tahoma"/>
            <family val="2"/>
          </rPr>
          <t xml:space="preserve">
Negligible incineration of household wastes occurs in Australia</t>
        </r>
      </text>
    </comment>
    <comment ref="K209" authorId="0">
      <text>
        <r>
          <rPr>
            <b/>
            <sz val="9"/>
            <color indexed="81"/>
            <rFont val="Tahoma"/>
            <family val="2"/>
          </rPr>
          <t>Joe Pickin:</t>
        </r>
        <r>
          <rPr>
            <sz val="9"/>
            <color indexed="81"/>
            <rFont val="Tahoma"/>
            <family val="2"/>
          </rPr>
          <t xml:space="preserve">
Negligible incineration of household wastes occurs in Australia</t>
        </r>
      </text>
    </comment>
    <comment ref="E21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1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23" authorId="0">
      <text>
        <r>
          <rPr>
            <b/>
            <sz val="9"/>
            <color indexed="81"/>
            <rFont val="Tahoma"/>
            <family val="2"/>
          </rPr>
          <t>Joe Pickin:</t>
        </r>
        <r>
          <rPr>
            <sz val="9"/>
            <color indexed="81"/>
            <rFont val="Tahoma"/>
            <family val="2"/>
          </rPr>
          <t xml:space="preserve">
Added to jurisdiction data: estimate of biosolids. See 'Gap data 2'.</t>
        </r>
      </text>
    </comment>
    <comment ref="F223" authorId="0">
      <text>
        <r>
          <rPr>
            <b/>
            <sz val="9"/>
            <color indexed="81"/>
            <rFont val="Tahoma"/>
            <family val="2"/>
          </rPr>
          <t>Joe Pickin:</t>
        </r>
        <r>
          <rPr>
            <sz val="9"/>
            <color indexed="81"/>
            <rFont val="Tahoma"/>
            <family val="2"/>
          </rPr>
          <t xml:space="preserve">
Added to jurisdiction data: estimate of biosolids. See 'Gap data 2'.</t>
        </r>
      </text>
    </comment>
    <comment ref="E22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2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31" authorId="0">
      <text>
        <r>
          <rPr>
            <b/>
            <sz val="9"/>
            <color indexed="81"/>
            <rFont val="Tahoma"/>
            <family val="2"/>
          </rPr>
          <t>Joe Pickin:</t>
        </r>
        <r>
          <rPr>
            <sz val="9"/>
            <color indexed="81"/>
            <rFont val="Tahoma"/>
            <family val="2"/>
          </rPr>
          <t xml:space="preserve">
From COAG report. See gap data 2.</t>
        </r>
      </text>
    </comment>
    <comment ref="F231" authorId="0">
      <text>
        <r>
          <rPr>
            <b/>
            <sz val="9"/>
            <color indexed="81"/>
            <rFont val="Tahoma"/>
            <family val="2"/>
          </rPr>
          <t>Joe Pickin:</t>
        </r>
        <r>
          <rPr>
            <sz val="9"/>
            <color indexed="81"/>
            <rFont val="Tahoma"/>
            <family val="2"/>
          </rPr>
          <t xml:space="preserve">
From COAG report. See gap data 2.</t>
        </r>
      </text>
    </comment>
    <comment ref="J28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28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84" authorId="0">
      <text>
        <r>
          <rPr>
            <b/>
            <sz val="9"/>
            <color indexed="81"/>
            <rFont val="Tahoma"/>
            <family val="2"/>
          </rPr>
          <t>Joe Pickin:</t>
        </r>
        <r>
          <rPr>
            <sz val="9"/>
            <color indexed="81"/>
            <rFont val="Tahoma"/>
            <family val="2"/>
          </rPr>
          <t xml:space="preserve">
Negligible incineration of household wastes occurs in Australia</t>
        </r>
      </text>
    </comment>
    <comment ref="K284" authorId="0">
      <text>
        <r>
          <rPr>
            <b/>
            <sz val="9"/>
            <color indexed="81"/>
            <rFont val="Tahoma"/>
            <family val="2"/>
          </rPr>
          <t>Joe Pickin:</t>
        </r>
        <r>
          <rPr>
            <sz val="9"/>
            <color indexed="81"/>
            <rFont val="Tahoma"/>
            <family val="2"/>
          </rPr>
          <t xml:space="preserve">
Negligible incineration of household wastes occurs in Australia</t>
        </r>
      </text>
    </comment>
    <comment ref="E293" authorId="0">
      <text>
        <r>
          <rPr>
            <b/>
            <sz val="9"/>
            <color indexed="81"/>
            <rFont val="Tahoma"/>
            <family val="2"/>
          </rPr>
          <t>Joe Pickin:</t>
        </r>
        <r>
          <rPr>
            <sz val="9"/>
            <color indexed="81"/>
            <rFont val="Tahoma"/>
            <family val="2"/>
          </rPr>
          <t xml:space="preserve">
From 'Waste generation &amp; resource recovery in Australia'. See 'Gap data'.</t>
        </r>
      </text>
    </comment>
    <comment ref="F293" authorId="0">
      <text>
        <r>
          <rPr>
            <b/>
            <sz val="9"/>
            <color indexed="81"/>
            <rFont val="Tahoma"/>
            <family val="2"/>
          </rPr>
          <t>Joe Pickin:</t>
        </r>
        <r>
          <rPr>
            <sz val="9"/>
            <color indexed="81"/>
            <rFont val="Tahoma"/>
            <family val="2"/>
          </rPr>
          <t xml:space="preserve">
From 'Waste generation &amp; resource recovery in Australia'. See 'Gap data'.</t>
        </r>
      </text>
    </comment>
    <comment ref="E298" authorId="0">
      <text>
        <r>
          <rPr>
            <b/>
            <sz val="9"/>
            <color indexed="81"/>
            <rFont val="Tahoma"/>
            <family val="2"/>
          </rPr>
          <t>Joe Pickin:</t>
        </r>
        <r>
          <rPr>
            <sz val="9"/>
            <color indexed="81"/>
            <rFont val="Tahoma"/>
            <family val="2"/>
          </rPr>
          <t xml:space="preserve">
Added to jurisdiction data: estimate of biosolids. See 'Gap data 2'.</t>
        </r>
      </text>
    </comment>
    <comment ref="F298" authorId="0">
      <text>
        <r>
          <rPr>
            <b/>
            <sz val="9"/>
            <color indexed="81"/>
            <rFont val="Tahoma"/>
            <family val="2"/>
          </rPr>
          <t>Joe Pickin:</t>
        </r>
        <r>
          <rPr>
            <sz val="9"/>
            <color indexed="81"/>
            <rFont val="Tahoma"/>
            <family val="2"/>
          </rPr>
          <t xml:space="preserve">
Added to jurisdiction data: estimate of biosolids. See 'Gap data 2'.</t>
        </r>
      </text>
    </comment>
    <comment ref="E306" authorId="0">
      <text>
        <r>
          <rPr>
            <b/>
            <sz val="9"/>
            <color indexed="81"/>
            <rFont val="Tahoma"/>
            <family val="2"/>
          </rPr>
          <t>Joe Pickin:</t>
        </r>
        <r>
          <rPr>
            <sz val="9"/>
            <color indexed="81"/>
            <rFont val="Tahoma"/>
            <family val="2"/>
          </rPr>
          <t xml:space="preserve">
From COAG report. See gap data 2.</t>
        </r>
      </text>
    </comment>
    <comment ref="F306" authorId="0">
      <text>
        <r>
          <rPr>
            <b/>
            <sz val="9"/>
            <color indexed="81"/>
            <rFont val="Tahoma"/>
            <family val="2"/>
          </rPr>
          <t>Joe Pickin:</t>
        </r>
        <r>
          <rPr>
            <sz val="9"/>
            <color indexed="81"/>
            <rFont val="Tahoma"/>
            <family val="2"/>
          </rPr>
          <t xml:space="preserve">
From COAG report. See gap data 2.</t>
        </r>
      </text>
    </comment>
    <comment ref="E35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35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35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354"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35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35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359" authorId="0">
      <text>
        <r>
          <rPr>
            <b/>
            <sz val="9"/>
            <color indexed="81"/>
            <rFont val="Tahoma"/>
            <family val="2"/>
          </rPr>
          <t>Joe Pickin:</t>
        </r>
        <r>
          <rPr>
            <sz val="9"/>
            <color indexed="81"/>
            <rFont val="Tahoma"/>
            <family val="2"/>
          </rPr>
          <t xml:space="preserve">
Negligible incineration of household wastes occurs in Australia</t>
        </r>
      </text>
    </comment>
    <comment ref="K359" authorId="0">
      <text>
        <r>
          <rPr>
            <b/>
            <sz val="9"/>
            <color indexed="81"/>
            <rFont val="Tahoma"/>
            <family val="2"/>
          </rPr>
          <t>Joe Pickin:</t>
        </r>
        <r>
          <rPr>
            <sz val="9"/>
            <color indexed="81"/>
            <rFont val="Tahoma"/>
            <family val="2"/>
          </rPr>
          <t xml:space="preserve">
Negligible incineration of household wastes occurs in Australia</t>
        </r>
      </text>
    </comment>
    <comment ref="E373" authorId="0">
      <text>
        <r>
          <rPr>
            <b/>
            <sz val="9"/>
            <color indexed="81"/>
            <rFont val="Tahoma"/>
            <family val="2"/>
          </rPr>
          <t>Joe Pickin:</t>
        </r>
        <r>
          <rPr>
            <sz val="9"/>
            <color indexed="81"/>
            <rFont val="Tahoma"/>
            <family val="2"/>
          </rPr>
          <t xml:space="preserve">
Added to jurisdiction data: estimate of biosolids. See 'Gap data 2'.</t>
        </r>
      </text>
    </comment>
    <comment ref="F373" authorId="0">
      <text>
        <r>
          <rPr>
            <b/>
            <sz val="9"/>
            <color indexed="81"/>
            <rFont val="Tahoma"/>
            <family val="2"/>
          </rPr>
          <t>Joe Pickin:</t>
        </r>
        <r>
          <rPr>
            <sz val="9"/>
            <color indexed="81"/>
            <rFont val="Tahoma"/>
            <family val="2"/>
          </rPr>
          <t xml:space="preserve">
Added to jurisdiction data: estimate of biosolids. See 'Gap data 2'.</t>
        </r>
      </text>
    </comment>
    <comment ref="E381" authorId="0">
      <text>
        <r>
          <rPr>
            <b/>
            <sz val="9"/>
            <color indexed="81"/>
            <rFont val="Tahoma"/>
            <family val="2"/>
          </rPr>
          <t>Joe Pickin:</t>
        </r>
        <r>
          <rPr>
            <sz val="9"/>
            <color indexed="81"/>
            <rFont val="Tahoma"/>
            <family val="2"/>
          </rPr>
          <t xml:space="preserve">
From COAG report. See gap data 2.</t>
        </r>
      </text>
    </comment>
    <comment ref="F381" authorId="0">
      <text>
        <r>
          <rPr>
            <b/>
            <sz val="9"/>
            <color indexed="81"/>
            <rFont val="Tahoma"/>
            <family val="2"/>
          </rPr>
          <t>Joe Pickin:</t>
        </r>
        <r>
          <rPr>
            <sz val="9"/>
            <color indexed="81"/>
            <rFont val="Tahoma"/>
            <family val="2"/>
          </rPr>
          <t xml:space="preserve">
From COAG report. See gap data 2.</t>
        </r>
      </text>
    </comment>
    <comment ref="F4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42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43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43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434" authorId="0">
      <text>
        <r>
          <rPr>
            <b/>
            <sz val="9"/>
            <color indexed="81"/>
            <rFont val="Tahoma"/>
            <family val="2"/>
          </rPr>
          <t>Joe Pickin:</t>
        </r>
        <r>
          <rPr>
            <sz val="9"/>
            <color indexed="81"/>
            <rFont val="Tahoma"/>
            <family val="2"/>
          </rPr>
          <t xml:space="preserve">
Negligible incineration of household wastes occurs in Australia</t>
        </r>
      </text>
    </comment>
    <comment ref="K434" authorId="0">
      <text>
        <r>
          <rPr>
            <b/>
            <sz val="9"/>
            <color indexed="81"/>
            <rFont val="Tahoma"/>
            <family val="2"/>
          </rPr>
          <t>Joe Pickin:</t>
        </r>
        <r>
          <rPr>
            <sz val="9"/>
            <color indexed="81"/>
            <rFont val="Tahoma"/>
            <family val="2"/>
          </rPr>
          <t xml:space="preserve">
Negligible incineration of household wastes occurs in Australia</t>
        </r>
      </text>
    </comment>
    <comment ref="E448" authorId="0">
      <text>
        <r>
          <rPr>
            <b/>
            <sz val="9"/>
            <color indexed="81"/>
            <rFont val="Tahoma"/>
            <family val="2"/>
          </rPr>
          <t>Joe Pickin:</t>
        </r>
        <r>
          <rPr>
            <sz val="9"/>
            <color indexed="81"/>
            <rFont val="Tahoma"/>
            <family val="2"/>
          </rPr>
          <t xml:space="preserve">
Added to jurisdiction data: estimate of biosolids. See 'Gap data 2'.</t>
        </r>
      </text>
    </comment>
    <comment ref="F448" authorId="0">
      <text>
        <r>
          <rPr>
            <b/>
            <sz val="9"/>
            <color indexed="81"/>
            <rFont val="Tahoma"/>
            <family val="2"/>
          </rPr>
          <t>Joe Pickin:</t>
        </r>
        <r>
          <rPr>
            <sz val="9"/>
            <color indexed="81"/>
            <rFont val="Tahoma"/>
            <family val="2"/>
          </rPr>
          <t xml:space="preserve">
Added to jurisdiction data: estimate of biosolids. See 'Gap data 2'.</t>
        </r>
      </text>
    </comment>
    <comment ref="E44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44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456" authorId="0">
      <text>
        <r>
          <rPr>
            <b/>
            <sz val="9"/>
            <color indexed="81"/>
            <rFont val="Tahoma"/>
            <family val="2"/>
          </rPr>
          <t>Joe Pickin:</t>
        </r>
        <r>
          <rPr>
            <sz val="9"/>
            <color indexed="81"/>
            <rFont val="Tahoma"/>
            <family val="2"/>
          </rPr>
          <t xml:space="preserve">
From COAG report. See gap data 2.</t>
        </r>
      </text>
    </comment>
    <comment ref="F456" authorId="0">
      <text>
        <r>
          <rPr>
            <b/>
            <sz val="9"/>
            <color indexed="81"/>
            <rFont val="Tahoma"/>
            <family val="2"/>
          </rPr>
          <t>Joe Pickin:</t>
        </r>
        <r>
          <rPr>
            <sz val="9"/>
            <color indexed="81"/>
            <rFont val="Tahoma"/>
            <family val="2"/>
          </rPr>
          <t xml:space="preserve">
From COAG report. See gap data 2.</t>
        </r>
      </text>
    </comment>
    <comment ref="J50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0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09" authorId="0">
      <text>
        <r>
          <rPr>
            <b/>
            <sz val="9"/>
            <color indexed="81"/>
            <rFont val="Tahoma"/>
            <family val="2"/>
          </rPr>
          <t>Joe Pickin:</t>
        </r>
        <r>
          <rPr>
            <sz val="9"/>
            <color indexed="81"/>
            <rFont val="Tahoma"/>
            <family val="2"/>
          </rPr>
          <t xml:space="preserve">
Negligible incineration of household wastes occurs in Australia</t>
        </r>
      </text>
    </comment>
    <comment ref="K509" authorId="0">
      <text>
        <r>
          <rPr>
            <b/>
            <sz val="9"/>
            <color indexed="81"/>
            <rFont val="Tahoma"/>
            <family val="2"/>
          </rPr>
          <t>Joe Pickin:</t>
        </r>
        <r>
          <rPr>
            <sz val="9"/>
            <color indexed="81"/>
            <rFont val="Tahoma"/>
            <family val="2"/>
          </rPr>
          <t xml:space="preserve">
Negligible incineration of household wastes occurs in Australia</t>
        </r>
      </text>
    </comment>
    <comment ref="E523" authorId="0">
      <text>
        <r>
          <rPr>
            <b/>
            <sz val="9"/>
            <color indexed="81"/>
            <rFont val="Tahoma"/>
            <family val="2"/>
          </rPr>
          <t>Joe Pickin:</t>
        </r>
        <r>
          <rPr>
            <sz val="9"/>
            <color indexed="81"/>
            <rFont val="Tahoma"/>
            <family val="2"/>
          </rPr>
          <t xml:space="preserve">
Added to jurisdiction data: estimate of biosolids. See 'Gap data 2'.</t>
        </r>
      </text>
    </comment>
    <comment ref="F523" authorId="0">
      <text>
        <r>
          <rPr>
            <b/>
            <sz val="9"/>
            <color indexed="81"/>
            <rFont val="Tahoma"/>
            <family val="2"/>
          </rPr>
          <t>Joe Pickin:</t>
        </r>
        <r>
          <rPr>
            <sz val="9"/>
            <color indexed="81"/>
            <rFont val="Tahoma"/>
            <family val="2"/>
          </rPr>
          <t xml:space="preserve">
Added to jurisdiction data: estimate of biosolids. See 'Gap data 2'.</t>
        </r>
      </text>
    </comment>
    <comment ref="E531" authorId="0">
      <text>
        <r>
          <rPr>
            <b/>
            <sz val="9"/>
            <color indexed="81"/>
            <rFont val="Tahoma"/>
            <family val="2"/>
          </rPr>
          <t>Joe Pickin:</t>
        </r>
        <r>
          <rPr>
            <sz val="9"/>
            <color indexed="81"/>
            <rFont val="Tahoma"/>
            <family val="2"/>
          </rPr>
          <t xml:space="preserve">
From COAG report. See gap data 2.</t>
        </r>
      </text>
    </comment>
    <comment ref="F531" authorId="0">
      <text>
        <r>
          <rPr>
            <b/>
            <sz val="9"/>
            <color indexed="81"/>
            <rFont val="Tahoma"/>
            <family val="2"/>
          </rPr>
          <t>Joe Pickin:</t>
        </r>
        <r>
          <rPr>
            <sz val="9"/>
            <color indexed="81"/>
            <rFont val="Tahoma"/>
            <family val="2"/>
          </rPr>
          <t xml:space="preserve">
FrFrom COAG report. See gap data 2.</t>
        </r>
      </text>
    </comment>
    <comment ref="J58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8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84" authorId="0">
      <text>
        <r>
          <rPr>
            <b/>
            <sz val="9"/>
            <color indexed="81"/>
            <rFont val="Tahoma"/>
            <family val="2"/>
          </rPr>
          <t>Joe Pickin:</t>
        </r>
        <r>
          <rPr>
            <sz val="9"/>
            <color indexed="81"/>
            <rFont val="Tahoma"/>
            <family val="2"/>
          </rPr>
          <t xml:space="preserve">
Negligible incineration of household wastes occurs in Australia</t>
        </r>
      </text>
    </comment>
    <comment ref="K584" authorId="0">
      <text>
        <r>
          <rPr>
            <b/>
            <sz val="9"/>
            <color indexed="81"/>
            <rFont val="Tahoma"/>
            <family val="2"/>
          </rPr>
          <t>Joe Pickin:</t>
        </r>
        <r>
          <rPr>
            <sz val="9"/>
            <color indexed="81"/>
            <rFont val="Tahoma"/>
            <family val="2"/>
          </rPr>
          <t xml:space="preserve">
Negligible incineration of household wastes occurs in Australia</t>
        </r>
      </text>
    </comment>
    <comment ref="E58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58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598" authorId="0">
      <text>
        <r>
          <rPr>
            <b/>
            <sz val="9"/>
            <color indexed="81"/>
            <rFont val="Tahoma"/>
            <family val="2"/>
          </rPr>
          <t>Joe Pickin:</t>
        </r>
        <r>
          <rPr>
            <sz val="9"/>
            <color indexed="81"/>
            <rFont val="Tahoma"/>
            <family val="2"/>
          </rPr>
          <t xml:space="preserve">
Added to jurisdiction data: estimate of biosolids. See 'Gap data 2'.</t>
        </r>
      </text>
    </comment>
    <comment ref="F598" authorId="0">
      <text>
        <r>
          <rPr>
            <b/>
            <sz val="9"/>
            <color indexed="81"/>
            <rFont val="Tahoma"/>
            <family val="2"/>
          </rPr>
          <t>Joe Pickin:</t>
        </r>
        <r>
          <rPr>
            <sz val="9"/>
            <color indexed="81"/>
            <rFont val="Tahoma"/>
            <family val="2"/>
          </rPr>
          <t xml:space="preserve">
Added to jurisdiction data: estimate of biosolids. See 'Gap data 2'.</t>
        </r>
      </text>
    </comment>
    <comment ref="E59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599"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606" authorId="0">
      <text>
        <r>
          <rPr>
            <b/>
            <sz val="9"/>
            <color indexed="81"/>
            <rFont val="Tahoma"/>
            <family val="2"/>
          </rPr>
          <t>Joe Pickin:</t>
        </r>
        <r>
          <rPr>
            <sz val="9"/>
            <color indexed="81"/>
            <rFont val="Tahoma"/>
            <family val="2"/>
          </rPr>
          <t xml:space="preserve">
From COAG report. See gap data 2.</t>
        </r>
      </text>
    </comment>
    <comment ref="F606" authorId="0">
      <text>
        <r>
          <rPr>
            <b/>
            <sz val="9"/>
            <color indexed="81"/>
            <rFont val="Tahoma"/>
            <family val="2"/>
          </rPr>
          <t>Joe Pickin:</t>
        </r>
        <r>
          <rPr>
            <sz val="9"/>
            <color indexed="81"/>
            <rFont val="Tahoma"/>
            <family val="2"/>
          </rPr>
          <t xml:space="preserve">
From COAG report. See gap data 2.</t>
        </r>
      </text>
    </comment>
  </commentList>
</comments>
</file>

<file path=xl/sharedStrings.xml><?xml version="1.0" encoding="utf-8"?>
<sst xmlns="http://schemas.openxmlformats.org/spreadsheetml/2006/main" count="8125" uniqueCount="882">
  <si>
    <t>Code</t>
  </si>
  <si>
    <t>Waste description</t>
  </si>
  <si>
    <t>Waste type</t>
  </si>
  <si>
    <t>A</t>
  </si>
  <si>
    <t>A100</t>
  </si>
  <si>
    <t>B</t>
  </si>
  <si>
    <t>Acids</t>
  </si>
  <si>
    <t>B100</t>
  </si>
  <si>
    <t>C</t>
  </si>
  <si>
    <t>C100</t>
  </si>
  <si>
    <t>D</t>
  </si>
  <si>
    <t>Inorganic chemicals</t>
  </si>
  <si>
    <t>D100</t>
  </si>
  <si>
    <t>D110</t>
  </si>
  <si>
    <t>D120</t>
  </si>
  <si>
    <t>D130</t>
  </si>
  <si>
    <t>D140</t>
  </si>
  <si>
    <t>D150</t>
  </si>
  <si>
    <t>D160</t>
  </si>
  <si>
    <t>D170</t>
  </si>
  <si>
    <t>D190</t>
  </si>
  <si>
    <t>D200</t>
  </si>
  <si>
    <t>D210</t>
  </si>
  <si>
    <t>D220</t>
  </si>
  <si>
    <t>D230</t>
  </si>
  <si>
    <t>D240</t>
  </si>
  <si>
    <t>D290</t>
  </si>
  <si>
    <t>D300</t>
  </si>
  <si>
    <t>D310</t>
  </si>
  <si>
    <t>D330</t>
  </si>
  <si>
    <t>D360</t>
  </si>
  <si>
    <t>E</t>
  </si>
  <si>
    <t>Reactive chemicals</t>
  </si>
  <si>
    <t>E100</t>
  </si>
  <si>
    <t>F</t>
  </si>
  <si>
    <t>F100</t>
  </si>
  <si>
    <t xml:space="preserve">F110 </t>
  </si>
  <si>
    <t>G</t>
  </si>
  <si>
    <t>G100</t>
  </si>
  <si>
    <t>G110</t>
  </si>
  <si>
    <t>G150</t>
  </si>
  <si>
    <t>G160</t>
  </si>
  <si>
    <t>H</t>
  </si>
  <si>
    <t>H100</t>
  </si>
  <si>
    <t>H110</t>
  </si>
  <si>
    <t>H170</t>
  </si>
  <si>
    <t>J</t>
  </si>
  <si>
    <t>J100</t>
  </si>
  <si>
    <t>J120</t>
  </si>
  <si>
    <t>J160</t>
  </si>
  <si>
    <t>K</t>
  </si>
  <si>
    <t>K100</t>
  </si>
  <si>
    <t>K140</t>
  </si>
  <si>
    <t>M</t>
  </si>
  <si>
    <t>Organic chemicals</t>
  </si>
  <si>
    <t>M100</t>
  </si>
  <si>
    <t>M150</t>
  </si>
  <si>
    <t>M160</t>
  </si>
  <si>
    <t>M220</t>
  </si>
  <si>
    <t>M230</t>
  </si>
  <si>
    <t>M250</t>
  </si>
  <si>
    <t>M260</t>
  </si>
  <si>
    <t>N</t>
  </si>
  <si>
    <t>N100</t>
  </si>
  <si>
    <t>N120</t>
  </si>
  <si>
    <t>N140</t>
  </si>
  <si>
    <t>N150</t>
  </si>
  <si>
    <t>N160</t>
  </si>
  <si>
    <t>N190</t>
  </si>
  <si>
    <t>N220</t>
  </si>
  <si>
    <t>N230</t>
  </si>
  <si>
    <t>R</t>
  </si>
  <si>
    <t>R100</t>
  </si>
  <si>
    <t>R120</t>
  </si>
  <si>
    <t>R140</t>
  </si>
  <si>
    <t>T</t>
  </si>
  <si>
    <t>Miscellaneous</t>
  </si>
  <si>
    <t>T100</t>
  </si>
  <si>
    <t>T120</t>
  </si>
  <si>
    <t>Waste resulting from surface treatment of metals and plastics</t>
  </si>
  <si>
    <t>Cyanides (inorganic)</t>
  </si>
  <si>
    <t>A130</t>
  </si>
  <si>
    <t>Acidic solutions or acids in solid form</t>
  </si>
  <si>
    <t>Basic solutions or bases in solid form</t>
  </si>
  <si>
    <t>Metal carbonyls</t>
  </si>
  <si>
    <t>Inorganic fluorine compounds excluding calcium fluoride</t>
  </si>
  <si>
    <t>Mercury; mercury compounds</t>
  </si>
  <si>
    <t>Arsenic; arsenic compounds</t>
  </si>
  <si>
    <t>Chromium compounds (hexavalent and trivalent)</t>
  </si>
  <si>
    <t>Cadmium; cadmium compounds</t>
  </si>
  <si>
    <t>Beryllium; beryllium compounds</t>
  </si>
  <si>
    <t>Copper compounds</t>
  </si>
  <si>
    <t>Nickel compounds</t>
  </si>
  <si>
    <t>Lead; lead compounds</t>
  </si>
  <si>
    <t>Zinc compounds</t>
  </si>
  <si>
    <t>Non-toxic salts</t>
  </si>
  <si>
    <t>Boron compounds</t>
  </si>
  <si>
    <t>Inorganic sulfides</t>
  </si>
  <si>
    <t>Perchlorates</t>
  </si>
  <si>
    <t>D340</t>
  </si>
  <si>
    <t>Chlorates</t>
  </si>
  <si>
    <t>D350</t>
  </si>
  <si>
    <t>Waste containing peroxides other than hydrogen peroxide</t>
  </si>
  <si>
    <t>Waste from the production, formulation and use of inks, dyes, pigments, paints, lacquers and varnish</t>
  </si>
  <si>
    <t>Waste from the production, formulation and use of resins, latex, plasticisers, glues and adhesives</t>
  </si>
  <si>
    <t>F110</t>
  </si>
  <si>
    <t>Ethers</t>
  </si>
  <si>
    <t>Organic solvents excluding halogenated solvents</t>
  </si>
  <si>
    <t>Halogenated organic solvents</t>
  </si>
  <si>
    <t>Waste from the production, formulation and use of organic solvents</t>
  </si>
  <si>
    <t>Waste from the production, formulation and use of biocides and phytopharmaceuticals</t>
  </si>
  <si>
    <t>Organic phosphorous compounds</t>
  </si>
  <si>
    <t>Waste mineral oils unfit for their original intended use</t>
  </si>
  <si>
    <t>Animal effluent and residues (abattoir effluent, poultry and fish processing wastes)</t>
  </si>
  <si>
    <t>Grease trap waste</t>
  </si>
  <si>
    <t>K110</t>
  </si>
  <si>
    <t>Tannery wastes (including leather dust, ash, sludges and flours)</t>
  </si>
  <si>
    <t>Wool scouring wastes</t>
  </si>
  <si>
    <t>K190</t>
  </si>
  <si>
    <t>Polychlorinated dibenzo-furan (any congener)</t>
  </si>
  <si>
    <t>M170</t>
  </si>
  <si>
    <t>Polychlorinated dibenzo-p-dioxin (any congener)</t>
  </si>
  <si>
    <t>M180</t>
  </si>
  <si>
    <t>Cyanides (organic)</t>
  </si>
  <si>
    <t>M210</t>
  </si>
  <si>
    <t>Triethylamine catalysts for setting foundry sands</t>
  </si>
  <si>
    <t>Highly odorous organic chemicals (including mercaptans and acrylates)</t>
  </si>
  <si>
    <t>Soils contaminated with a controlled waste</t>
  </si>
  <si>
    <t>N205</t>
  </si>
  <si>
    <t>Asbestos</t>
  </si>
  <si>
    <t>Waste pharmaceuticals, drugs and medicines</t>
  </si>
  <si>
    <t>Waste from the production and preparation of pharmaceutical products</t>
  </si>
  <si>
    <t>Waste from the production, formulation and use of photographic chemicals and processing materials</t>
  </si>
  <si>
    <t>Tyres</t>
  </si>
  <si>
    <t>T140</t>
  </si>
  <si>
    <t>Waste of an explosive nature not subject to other legislation</t>
  </si>
  <si>
    <t>Isocyanate compounds</t>
  </si>
  <si>
    <t xml:space="preserve">Plating and heat treatment </t>
  </si>
  <si>
    <t>A110</t>
  </si>
  <si>
    <t>Waste from heat treatment and tempering operations containing cyanides</t>
  </si>
  <si>
    <t>Alkalis</t>
  </si>
  <si>
    <t>Antimony; antimony compounds</t>
  </si>
  <si>
    <t>D180</t>
  </si>
  <si>
    <t>Thallium; thallium compounds</t>
  </si>
  <si>
    <t>Cobalt compounds</t>
  </si>
  <si>
    <t>Selenium; selenium compounds</t>
  </si>
  <si>
    <t>D250</t>
  </si>
  <si>
    <t>Tellurium; tellurium compounds</t>
  </si>
  <si>
    <t>D270</t>
  </si>
  <si>
    <t>Vanadium compounds</t>
  </si>
  <si>
    <t>Barium compounds (excluding barium sulphate)</t>
  </si>
  <si>
    <t>Phosphorus compounds excluding mineral phosphates</t>
  </si>
  <si>
    <t>Paints, resins, inks, organic sludges</t>
  </si>
  <si>
    <t>Organic solvents</t>
  </si>
  <si>
    <t>Pesticides</t>
  </si>
  <si>
    <t>Waste from manufacture, formulation and use of wood-preserving chemicals</t>
  </si>
  <si>
    <t>Oils</t>
  </si>
  <si>
    <t>Waste oil/water, hydrocarbons/water mixtures or emulsions</t>
  </si>
  <si>
    <t>Waste tarry residues arising from refining, distillation, and any pyrolytic treatment</t>
  </si>
  <si>
    <t>Putrescible/ organic waste</t>
  </si>
  <si>
    <t>Waste substances and articles containing or contaminated with polychlorinated biphenyls, polychlorinated napthalenes, polychlorinated terphenyls and/or polybrominated biphenyls</t>
  </si>
  <si>
    <t>Phenols, phenol compounds including chlorophenols</t>
  </si>
  <si>
    <t>Organo halogen compounds—other than substances referred to in this Table or Table 2</t>
  </si>
  <si>
    <t>Surface active agents (surfactants), containing principally organic constituents and which may contain metals and inorganic materials</t>
  </si>
  <si>
    <t>Soil/ sludge</t>
  </si>
  <si>
    <t>Containers and drums that are contaminated with residues of substances referred to in this list</t>
  </si>
  <si>
    <t>Fire debris and fire wash waters</t>
  </si>
  <si>
    <t>Residues from industrial waste treatment/disposal operations</t>
  </si>
  <si>
    <t>Ceramic-based fibres with physico-chemical characteristics similar to those of asbestos</t>
  </si>
  <si>
    <t>Clinical and pharmaceutical</t>
  </si>
  <si>
    <t>Clinical and related wastes</t>
  </si>
  <si>
    <t>Waste chemical substances arising from research and development or teaching activities, including those which are not identified and/or are new and whose effects on human health and/or the environment are not known</t>
  </si>
  <si>
    <t>T200</t>
  </si>
  <si>
    <t>Fly ash, excluding fly ash generated from Australian coal fired power stations</t>
  </si>
  <si>
    <t>Encapsulated, chemically-fixed, solidified or polymerised wastes referred to in this list</t>
  </si>
  <si>
    <t>Filter cake contaminated with residues of substances referred to in this list</t>
  </si>
  <si>
    <t>Organic phosphorus compounds</t>
  </si>
  <si>
    <t xml:space="preserve">Acidic solutions or acids in solid form </t>
  </si>
  <si>
    <t xml:space="preserve">Animal effluent and residues (abattoir effluent, poultry and fish processing wastes) </t>
  </si>
  <si>
    <t xml:space="preserve">Antimony; antimony compounds </t>
  </si>
  <si>
    <t xml:space="preserve">Arsenic; arsenic compounds </t>
  </si>
  <si>
    <t xml:space="preserve">Asbestos </t>
  </si>
  <si>
    <t xml:space="preserve">Barium compounds (excluding barium sulphate) </t>
  </si>
  <si>
    <t xml:space="preserve">Basic solutions or bases in solid form </t>
  </si>
  <si>
    <t xml:space="preserve">Beryllium; beryllium compounds </t>
  </si>
  <si>
    <t xml:space="preserve">Boron compounds </t>
  </si>
  <si>
    <t xml:space="preserve">Cadmium; cadmium compounds </t>
  </si>
  <si>
    <t xml:space="preserve">Ceramic-based fibres with physico-chemical characteristics similar to those of asbestos </t>
  </si>
  <si>
    <t xml:space="preserve">Chlorates </t>
  </si>
  <si>
    <t xml:space="preserve">Chromium compounds (hexavalent and trivalent) </t>
  </si>
  <si>
    <t xml:space="preserve">Clinical and related wastes </t>
  </si>
  <si>
    <t xml:space="preserve">Cobalt compounds </t>
  </si>
  <si>
    <t xml:space="preserve">Containers and drums which are contaminated with residues of substances referred to in this list </t>
  </si>
  <si>
    <t xml:space="preserve">Copper compounds </t>
  </si>
  <si>
    <t xml:space="preserve">Cyanides (inorganic) </t>
  </si>
  <si>
    <t xml:space="preserve">Cyanides (organic) </t>
  </si>
  <si>
    <t xml:space="preserve">Encapsulated, chemically fixed, solidified or polymerised wastes </t>
  </si>
  <si>
    <t xml:space="preserve">Ethers </t>
  </si>
  <si>
    <t xml:space="preserve">Filter cake </t>
  </si>
  <si>
    <t xml:space="preserve">Fire debris and fire washwaters </t>
  </si>
  <si>
    <t xml:space="preserve">Fly ash </t>
  </si>
  <si>
    <t xml:space="preserve">Grease trap waste </t>
  </si>
  <si>
    <t xml:space="preserve">Halogenated organic solvents </t>
  </si>
  <si>
    <t xml:space="preserve">Highly odorous organic chemicals (including mercaptans and acrylates) </t>
  </si>
  <si>
    <t xml:space="preserve">Inorganic fluorine compounds excluding calcium fluoride </t>
  </si>
  <si>
    <t xml:space="preserve">Inorganic sulfides </t>
  </si>
  <si>
    <t xml:space="preserve">Isocyanate compounds </t>
  </si>
  <si>
    <t xml:space="preserve">Lead; lead compounds </t>
  </si>
  <si>
    <t xml:space="preserve">Mercury; mercury compounds </t>
  </si>
  <si>
    <t xml:space="preserve">Metal carbonyls </t>
  </si>
  <si>
    <t xml:space="preserve">Nickel compounds </t>
  </si>
  <si>
    <t xml:space="preserve">Non toxic salts </t>
  </si>
  <si>
    <t xml:space="preserve">Organic phosphorous compounds </t>
  </si>
  <si>
    <t xml:space="preserve">Organic solvents excluding halogenated solvents </t>
  </si>
  <si>
    <t xml:space="preserve">Organohalogen compounds – other than substances referred to in this list </t>
  </si>
  <si>
    <t xml:space="preserve">Perchlorates </t>
  </si>
  <si>
    <t xml:space="preserve">Phenols, phenol compounds including chlorophenols </t>
  </si>
  <si>
    <t xml:space="preserve">Phosphorus compounds excluding mineral phosphates </t>
  </si>
  <si>
    <t xml:space="preserve">Polychlorinated dibenzo–furan (any congener) </t>
  </si>
  <si>
    <t xml:space="preserve">Polychlorinated dibenzo–p–dioxin (any congener) </t>
  </si>
  <si>
    <t xml:space="preserve">Residues from industrial waste treatment/disposal operations </t>
  </si>
  <si>
    <t xml:space="preserve">Selenium; selenium compounds </t>
  </si>
  <si>
    <t xml:space="preserve">Sewage sludge and residues including nightsoil and septic tank sludge </t>
  </si>
  <si>
    <t xml:space="preserve">Soils contaminated with a controlled waste </t>
  </si>
  <si>
    <t xml:space="preserve">Surface active agents (surfactants), containing principally organic constituents and which may contain metals and inorganic materials </t>
  </si>
  <si>
    <t xml:space="preserve">Tannery wastes (including leather dust, ash, sludges and flours) </t>
  </si>
  <si>
    <t xml:space="preserve">Tellurium; tellurium compounds </t>
  </si>
  <si>
    <t xml:space="preserve">Thallium; thallium compounds </t>
  </si>
  <si>
    <t xml:space="preserve">Triethylamine catalysts for setting foundry sands </t>
  </si>
  <si>
    <t xml:space="preserve">Tyres </t>
  </si>
  <si>
    <t xml:space="preserve">Vanadium compounds </t>
  </si>
  <si>
    <t xml:space="preserve">Waste chemical substances arising from research and development or teaching activities including those which are not identified and/or are new and whose effects on human health and/or the environment are not known </t>
  </si>
  <si>
    <t xml:space="preserve">Waste containing peroxides other than hydrogen peroxide </t>
  </si>
  <si>
    <t xml:space="preserve">Waste from heat treatment and tempering operations containing cyanides </t>
  </si>
  <si>
    <t xml:space="preserve">Waste from manufacture, formulation and use of wood-preserving chemicals </t>
  </si>
  <si>
    <t xml:space="preserve">Waste from the production, formulation and use of biocides and phytopharmaceuticals </t>
  </si>
  <si>
    <t xml:space="preserve">Waste from the production, formulation and use of inks, dyes, pigments, paints, lacquers and varnish </t>
  </si>
  <si>
    <t xml:space="preserve">Waste from the production, formulation and use of organic solvents </t>
  </si>
  <si>
    <t xml:space="preserve">Waste from the production, formulation and use of photographic chemicals and processing materials </t>
  </si>
  <si>
    <t xml:space="preserve">Waste from the production, formulation and use of resins, latex, plasticisers, glues and adhesives </t>
  </si>
  <si>
    <t xml:space="preserve">Waste from the production and preparation of pharmaceutical products </t>
  </si>
  <si>
    <t xml:space="preserve">Waste mineral oils unfit for their original intended use </t>
  </si>
  <si>
    <t xml:space="preserve">Waste oil/water, hydrocarbons/water mixtures or emulsions </t>
  </si>
  <si>
    <t xml:space="preserve">Waste pharmaceuticals, drugs and medicines </t>
  </si>
  <si>
    <t xml:space="preserve">Waste resulting from surface treatment of metals and plastics </t>
  </si>
  <si>
    <t xml:space="preserve">Waste tarry residues arising from refining, distillation, and any pyrolytic treatment </t>
  </si>
  <si>
    <t xml:space="preserve">Waste substances and articles containing or contaminated with polychlorinated biphenyls [(PCBs), polychlorinated napthalenes (PCNs), polychlorinated terphenyls (PCTs) and/or polybrominated biphenyls (PBBs)] </t>
  </si>
  <si>
    <t xml:space="preserve">Waste of an explosive nature not subject to other legislation </t>
  </si>
  <si>
    <t xml:space="preserve">Wool scouring wastes </t>
  </si>
  <si>
    <t xml:space="preserve">Zinc compounds </t>
  </si>
  <si>
    <t xml:space="preserve">B100 </t>
  </si>
  <si>
    <t xml:space="preserve">K100 </t>
  </si>
  <si>
    <t xml:space="preserve">D170 </t>
  </si>
  <si>
    <t xml:space="preserve">D130 </t>
  </si>
  <si>
    <t xml:space="preserve">N220 </t>
  </si>
  <si>
    <t xml:space="preserve">D290 </t>
  </si>
  <si>
    <t xml:space="preserve">C100 </t>
  </si>
  <si>
    <t xml:space="preserve">D160 </t>
  </si>
  <si>
    <t xml:space="preserve">D310 </t>
  </si>
  <si>
    <t xml:space="preserve">D150 </t>
  </si>
  <si>
    <t xml:space="preserve">N230 </t>
  </si>
  <si>
    <t xml:space="preserve">D350 </t>
  </si>
  <si>
    <t xml:space="preserve">D140 </t>
  </si>
  <si>
    <t xml:space="preserve">R100 </t>
  </si>
  <si>
    <t xml:space="preserve">D200 </t>
  </si>
  <si>
    <t xml:space="preserve">N100 </t>
  </si>
  <si>
    <t xml:space="preserve">D190 </t>
  </si>
  <si>
    <t xml:space="preserve">A130 </t>
  </si>
  <si>
    <t xml:space="preserve">M210 </t>
  </si>
  <si>
    <t xml:space="preserve">N160 </t>
  </si>
  <si>
    <t xml:space="preserve">G100 </t>
  </si>
  <si>
    <t xml:space="preserve">N190 </t>
  </si>
  <si>
    <t xml:space="preserve">N140 </t>
  </si>
  <si>
    <t xml:space="preserve">N150 </t>
  </si>
  <si>
    <t xml:space="preserve">K110 </t>
  </si>
  <si>
    <t xml:space="preserve">G150 </t>
  </si>
  <si>
    <t xml:space="preserve">M260 </t>
  </si>
  <si>
    <t xml:space="preserve">D110 </t>
  </si>
  <si>
    <t xml:space="preserve">D330 </t>
  </si>
  <si>
    <t xml:space="preserve">M220 </t>
  </si>
  <si>
    <t xml:space="preserve">D220 </t>
  </si>
  <si>
    <t xml:space="preserve">D120 </t>
  </si>
  <si>
    <t xml:space="preserve">D100 </t>
  </si>
  <si>
    <t xml:space="preserve">D210 </t>
  </si>
  <si>
    <t xml:space="preserve">D300 </t>
  </si>
  <si>
    <t xml:space="preserve">H110 </t>
  </si>
  <si>
    <t xml:space="preserve">G110 </t>
  </si>
  <si>
    <t xml:space="preserve">M160 </t>
  </si>
  <si>
    <t xml:space="preserve">D340 </t>
  </si>
  <si>
    <t xml:space="preserve">M150 </t>
  </si>
  <si>
    <t xml:space="preserve">D360 </t>
  </si>
  <si>
    <t xml:space="preserve">M170 </t>
  </si>
  <si>
    <t xml:space="preserve">M180 </t>
  </si>
  <si>
    <t xml:space="preserve">N205 </t>
  </si>
  <si>
    <t xml:space="preserve">D240 </t>
  </si>
  <si>
    <t xml:space="preserve">K130 </t>
  </si>
  <si>
    <t xml:space="preserve">N120 </t>
  </si>
  <si>
    <t xml:space="preserve">M250 </t>
  </si>
  <si>
    <t xml:space="preserve">K140 </t>
  </si>
  <si>
    <t xml:space="preserve">D250 </t>
  </si>
  <si>
    <t xml:space="preserve">D180 </t>
  </si>
  <si>
    <t xml:space="preserve">M230 </t>
  </si>
  <si>
    <t xml:space="preserve">T140 </t>
  </si>
  <si>
    <t xml:space="preserve">D270 </t>
  </si>
  <si>
    <t xml:space="preserve">T100 </t>
  </si>
  <si>
    <t xml:space="preserve">E100 </t>
  </si>
  <si>
    <t xml:space="preserve">A110 </t>
  </si>
  <si>
    <t xml:space="preserve">H170 </t>
  </si>
  <si>
    <t xml:space="preserve">H100 </t>
  </si>
  <si>
    <t xml:space="preserve">F100 </t>
  </si>
  <si>
    <t xml:space="preserve">G160 </t>
  </si>
  <si>
    <t xml:space="preserve">T120 </t>
  </si>
  <si>
    <t xml:space="preserve">R140 </t>
  </si>
  <si>
    <t xml:space="preserve">J100 </t>
  </si>
  <si>
    <t xml:space="preserve">J120 </t>
  </si>
  <si>
    <t xml:space="preserve">R120 </t>
  </si>
  <si>
    <t xml:space="preserve">A100 </t>
  </si>
  <si>
    <t xml:space="preserve">J160 </t>
  </si>
  <si>
    <t xml:space="preserve">M100 </t>
  </si>
  <si>
    <t xml:space="preserve">E120 </t>
  </si>
  <si>
    <t xml:space="preserve">K190 </t>
  </si>
  <si>
    <t xml:space="preserve">D230 </t>
  </si>
  <si>
    <t>Waste mineral oils unfit for their originally intended use</t>
  </si>
  <si>
    <t>Other organic chemicals</t>
  </si>
  <si>
    <t>Y1</t>
  </si>
  <si>
    <t>Clinical wastes from medical care in hospitals, medical centres and clinics</t>
  </si>
  <si>
    <t>Y2</t>
  </si>
  <si>
    <t>Wastes from the production and preparation of pharmaceutical products</t>
  </si>
  <si>
    <t>Y3</t>
  </si>
  <si>
    <t>Y4</t>
  </si>
  <si>
    <t>Wastes from the production…... of biocides and phytopharmaceuticals</t>
  </si>
  <si>
    <t>Y5</t>
  </si>
  <si>
    <t>Wastes from the manufacture…... of wood preserving chemicals</t>
  </si>
  <si>
    <t>Y6</t>
  </si>
  <si>
    <t>Wastes from the production, formulation and use of organic solvent</t>
  </si>
  <si>
    <t>Y7</t>
  </si>
  <si>
    <t>Wastes from heat treatment and tempering operations containing cyanides</t>
  </si>
  <si>
    <t>Y8</t>
  </si>
  <si>
    <t>Y9</t>
  </si>
  <si>
    <t>Waste oils/water, hydrocarbons/water mixtures, emulsion</t>
  </si>
  <si>
    <t>Y10</t>
  </si>
  <si>
    <t xml:space="preserve">Waste substances ….containing or contaminated with PCBs, PCTs, PBBs </t>
  </si>
  <si>
    <t>Y11</t>
  </si>
  <si>
    <t>Waste tarry residues ... from refining, distillation and any pyrolytic treatment</t>
  </si>
  <si>
    <t>Y12</t>
  </si>
  <si>
    <t>Wastes from production…... of inks, dyes, pigments, paints, etc</t>
  </si>
  <si>
    <t>Y13</t>
  </si>
  <si>
    <t>Wastes from production……resins, latex, plasticizers, glues, etc</t>
  </si>
  <si>
    <t>Y14</t>
  </si>
  <si>
    <t>Waste chemical substances arising ….. environment are not known</t>
  </si>
  <si>
    <t>Y15</t>
  </si>
  <si>
    <t>Wastes of an explosive nature not subject to other legislation</t>
  </si>
  <si>
    <t>Y16</t>
  </si>
  <si>
    <t>Wastes from production, formulation and use of photographic chemicals…</t>
  </si>
  <si>
    <t>Y17</t>
  </si>
  <si>
    <t>Wastes resulting from surface treatment of metals and plastics</t>
  </si>
  <si>
    <t>Y18</t>
  </si>
  <si>
    <t>Residues arising from industrial waste disposal operations</t>
  </si>
  <si>
    <t>Y19</t>
  </si>
  <si>
    <t>Y20</t>
  </si>
  <si>
    <t>Y21</t>
  </si>
  <si>
    <t>Hexavalent chromium compounds</t>
  </si>
  <si>
    <t>Y22</t>
  </si>
  <si>
    <t>Y23</t>
  </si>
  <si>
    <t>Y24</t>
  </si>
  <si>
    <t>Y25</t>
  </si>
  <si>
    <t>Y26</t>
  </si>
  <si>
    <t>Y27</t>
  </si>
  <si>
    <t>Y28</t>
  </si>
  <si>
    <t>Y29</t>
  </si>
  <si>
    <t>Y30</t>
  </si>
  <si>
    <t>Y31</t>
  </si>
  <si>
    <t>Y32</t>
  </si>
  <si>
    <t>Y33</t>
  </si>
  <si>
    <t>Inorganic cyanides</t>
  </si>
  <si>
    <t>Y34</t>
  </si>
  <si>
    <t>Y35</t>
  </si>
  <si>
    <t>Y36</t>
  </si>
  <si>
    <t>Asbestos (dust and fibres)</t>
  </si>
  <si>
    <t>Y37</t>
  </si>
  <si>
    <t>Y38</t>
  </si>
  <si>
    <t>Organic cyanides</t>
  </si>
  <si>
    <t>Y39</t>
  </si>
  <si>
    <t>Phenols; phenol compounds including chlorophenols</t>
  </si>
  <si>
    <t>Y40</t>
  </si>
  <si>
    <t>Y41</t>
  </si>
  <si>
    <t>Y42</t>
  </si>
  <si>
    <t>Y43</t>
  </si>
  <si>
    <t>Any congenor of polychlorinated dibenzo-furan</t>
  </si>
  <si>
    <t>Y44</t>
  </si>
  <si>
    <t>Any congenor of polychlorinated dibenzo-p-dioxin</t>
  </si>
  <si>
    <t>Y45</t>
  </si>
  <si>
    <t>Organohalogen compounds other than …(e.g. Y39, Y41, Y42, Y43, Y44)</t>
  </si>
  <si>
    <t>Y46</t>
  </si>
  <si>
    <t>Wastes collected from households</t>
  </si>
  <si>
    <t>Y47</t>
  </si>
  <si>
    <t>Residues arising from the incineration of household wastes</t>
  </si>
  <si>
    <t>Other metal compounds</t>
  </si>
  <si>
    <t>Other inorganic chemicals</t>
  </si>
  <si>
    <t>Waste packages and containers containing Annex 1 substances in concentrations sufficient to exhibit Annex III hazard characteristics</t>
  </si>
  <si>
    <t>Key</t>
  </si>
  <si>
    <t>Tonnes generated</t>
  </si>
  <si>
    <t>National Environment Protection (Movement of Controlled Waste between States and Territories) Measure</t>
  </si>
  <si>
    <t>Basel Convention</t>
  </si>
  <si>
    <t>Waste description (NEPM Schedule A, List 1)</t>
  </si>
  <si>
    <t>Categories of wastes requiring special consideration (Annex II)</t>
  </si>
  <si>
    <t>Waste description (Annex 1)</t>
  </si>
  <si>
    <t>Wastes having as constituents …</t>
  </si>
  <si>
    <t>Additional waste categories not included in Y-Codes</t>
  </si>
  <si>
    <t>NEPM 15 waste description</t>
  </si>
  <si>
    <t>This worksheet translates data on South Australian listed wastes into Basel codes (via NEPM codes)</t>
  </si>
  <si>
    <t>South Australia - listed wastes</t>
  </si>
  <si>
    <t>This worksheet translates data on ACT controlled wastes into Basel codes (via NEPM codes)</t>
  </si>
  <si>
    <t>ACT - controlled wastes (NEPM)</t>
  </si>
  <si>
    <t>WA controlled wastes</t>
  </si>
  <si>
    <t>Category  group no.</t>
  </si>
  <si>
    <t>Category group name</t>
  </si>
  <si>
    <t xml:space="preserve">Category No. </t>
  </si>
  <si>
    <t>Description</t>
  </si>
  <si>
    <t>Filter cake</t>
  </si>
  <si>
    <t>Organochlorine pesticides</t>
  </si>
  <si>
    <t>Oil interceptor waste</t>
  </si>
  <si>
    <t>Inorganic cyanide</t>
  </si>
  <si>
    <t>Non toxic salts</t>
  </si>
  <si>
    <t>Waste tyres</t>
  </si>
  <si>
    <t>NSW</t>
  </si>
  <si>
    <t>ACT</t>
  </si>
  <si>
    <t>NT</t>
  </si>
  <si>
    <t>Qld</t>
  </si>
  <si>
    <t>SA</t>
  </si>
  <si>
    <t>WA</t>
  </si>
  <si>
    <t>Tas</t>
  </si>
  <si>
    <t>Vic</t>
  </si>
  <si>
    <t>Australian Bureau of Statistics (2013) 3101.0 Australian Demographic Statistics, June 2013, TABLE 4. Estimated Resident Population, States and Territories (Number)</t>
  </si>
  <si>
    <t>Factor for 'Wastes collected from households'</t>
  </si>
  <si>
    <t>Population Australia 2010/11</t>
  </si>
  <si>
    <t>Days per year</t>
  </si>
  <si>
    <t>Assumed % not relevant to Basel</t>
  </si>
  <si>
    <t>Population ACT 2010/11 (millions)</t>
  </si>
  <si>
    <t>MSW generated (kg/capita/day)</t>
  </si>
  <si>
    <t>MSW generated in Australia 2010/11 excl. ACT (Mt)</t>
  </si>
  <si>
    <t>Blue Environment estimate based on review of Vic data and personal communication with EPA NSW</t>
  </si>
  <si>
    <t>Basel generation rate (kg/capita/day)</t>
  </si>
  <si>
    <t>Basel generation rate (t/capita/six monthly period)</t>
  </si>
  <si>
    <t>Space for jurisdiction to enter data</t>
  </si>
  <si>
    <t>Jurisdictional data as provided</t>
  </si>
  <si>
    <t>Population data during each data period</t>
  </si>
  <si>
    <t>Bold italics</t>
  </si>
  <si>
    <t>Adjusted ACT data</t>
  </si>
  <si>
    <t>Adjusted SA data</t>
  </si>
  <si>
    <t>Adjusted WA data</t>
  </si>
  <si>
    <t>Sources</t>
  </si>
  <si>
    <t>This worksheet collates the adjusted jurisdiction data into single Australian data sets for NEPM &amp; Basel codes</t>
  </si>
  <si>
    <t>This worksheet compiles the NEPM and Basel data derived from the jurisdictional reports, then inserts adjustments and fills gaps.</t>
  </si>
  <si>
    <r>
      <t xml:space="preserve">Table 8 of Hyder Consulting (2012) </t>
    </r>
    <r>
      <rPr>
        <i/>
        <sz val="10"/>
        <color theme="1"/>
        <rFont val="Calibri"/>
        <family val="2"/>
        <scheme val="minor"/>
      </rPr>
      <t>Study into Domestic and International Fate of End- of-Life Tyres</t>
    </r>
    <r>
      <rPr>
        <sz val="10"/>
        <color theme="1"/>
        <rFont val="Calibri"/>
        <family val="2"/>
        <scheme val="minor"/>
      </rPr>
      <t>, prepared for COAG, available from: http://www.scew.gov.au/resource/study-domestic-and-international-fate-end-life-tyres-final-report</t>
    </r>
  </si>
  <si>
    <t>Mass of an equivalent passenger unit (kg)</t>
  </si>
  <si>
    <r>
      <t xml:space="preserve">Table 2 of Hyder Consulting (2012) </t>
    </r>
    <r>
      <rPr>
        <i/>
        <sz val="10"/>
        <color theme="1"/>
        <rFont val="Calibri"/>
        <family val="2"/>
        <scheme val="minor"/>
      </rPr>
      <t>Study into Domestic and International Fate of End- of-Life Tyres</t>
    </r>
    <r>
      <rPr>
        <sz val="10"/>
        <color theme="1"/>
        <rFont val="Calibri"/>
        <family val="2"/>
        <scheme val="minor"/>
      </rPr>
      <t>, prepared for COAG, available from: http://www.scew.gov.au/resource/study-domestic-and-international-fate-end-life-tyres-final-report</t>
    </r>
  </si>
  <si>
    <t>End-of-life arisings of tyres, 2009/10 (equivalent passenger units)</t>
  </si>
  <si>
    <t>End-of-life arisings of tyres, 2009/10 (tonnes)</t>
  </si>
  <si>
    <t>Waste tyres generated in each 6 months relevant to this work (tonnes)</t>
  </si>
  <si>
    <t xml:space="preserve">Assumptions: </t>
  </si>
  <si>
    <t>Biosolids generated in each 6 months relevant to this work (tonnes)</t>
  </si>
  <si>
    <t>Waste data from other sources</t>
  </si>
  <si>
    <t>Key:</t>
  </si>
  <si>
    <t>Green font</t>
  </si>
  <si>
    <t>Data obtained from an external source as specified</t>
  </si>
  <si>
    <t>Red font</t>
  </si>
  <si>
    <t>Assumption</t>
  </si>
  <si>
    <t>Soils contaminated with residues of substances in Basel Y-codes 19-45</t>
  </si>
  <si>
    <t>Sludges contaminated with residues of substances in Basel Y-codes 19-45</t>
  </si>
  <si>
    <t>Used to estimate waste quantities</t>
  </si>
  <si>
    <t>This worksheet translates data on Victorian prescribed wastes into Basel codes (via NEPM codes)</t>
  </si>
  <si>
    <t>VIC prescribed wastes</t>
  </si>
  <si>
    <t>Cyanide-containing wastes.</t>
  </si>
  <si>
    <t>Acids in a solid form or acidic solution with pH value of 4 or less.</t>
  </si>
  <si>
    <t>Alkaline solids or alkaline solutions with pH value of 9 or more.
Includes, but is not limited to: caustic soda, alkaline cleaners,
and waste lime.</t>
  </si>
  <si>
    <t>Metal carbonyls.</t>
  </si>
  <si>
    <t>Inorganic fluorine compounds (excluding calcium fluoride).</t>
  </si>
  <si>
    <t>Mercury and mercury compounds.</t>
  </si>
  <si>
    <t>Equipment and articles containing mercury.</t>
  </si>
  <si>
    <t>D121</t>
  </si>
  <si>
    <t>Arsenic and arsenic compounds.</t>
  </si>
  <si>
    <t>Chromium compounds (hexavalent and trivalent).</t>
  </si>
  <si>
    <t>Tannery wastes containing chromium.</t>
  </si>
  <si>
    <t>D141</t>
  </si>
  <si>
    <t>Cadmium and cadmium compounds.</t>
  </si>
  <si>
    <t>Beryllium and beryllium compounds.</t>
  </si>
  <si>
    <t>Antimony and antimony compounds.</t>
  </si>
  <si>
    <t>Copper compounds.</t>
  </si>
  <si>
    <t>Cobalt and cobalt compounds.</t>
  </si>
  <si>
    <t>Nickel compounds.</t>
  </si>
  <si>
    <t>Lead and lead compounds.</t>
  </si>
  <si>
    <t>Zinc compounds.</t>
  </si>
  <si>
    <t>Selenium and selenium compounds.</t>
  </si>
  <si>
    <t>Waste from the production, formulation  and use of photographic chemicals and processing materials (containing silver).</t>
  </si>
  <si>
    <t>D261</t>
  </si>
  <si>
    <t>Barium compounds.</t>
  </si>
  <si>
    <t>Non-toxic salts (e.g. sodium chloride, calcium chloride).</t>
  </si>
  <si>
    <t>Boron compounds.</t>
  </si>
  <si>
    <t>Inorganic sulfur-containing compounds.</t>
  </si>
  <si>
    <t>Phosphorus compounds, excluding mineral phosphates.</t>
  </si>
  <si>
    <t>Inorganic  chemicals, NOS.</t>
  </si>
  <si>
    <t>D390</t>
  </si>
  <si>
    <t>Smelter waste containing prescribed waste.</t>
  </si>
  <si>
    <t>D400</t>
  </si>
  <si>
    <t>Oxidising agents, including peroxides, NOS.</t>
  </si>
  <si>
    <t>Waste of an explosive nature not subject to other legislation, including azides.</t>
  </si>
  <si>
    <t>E120</t>
  </si>
  <si>
    <t>Highly reactive  chemicals, NOS.</t>
  </si>
  <si>
    <t>E130</t>
  </si>
  <si>
    <t>Aqueous-based wastes from the production, formulation and use of inks, dyes, pigments, paints, lacquers and varnish.</t>
  </si>
  <si>
    <t>Aqueous-based wastes from the production, formulation and use of resins, latex, plasticisers, glues and adhesives.</t>
  </si>
  <si>
    <t>Solvent-based wastes from the production, formulation and use of inks, dyes, pigments, paints, lacquers and varnish.</t>
  </si>
  <si>
    <t>F120</t>
  </si>
  <si>
    <t>Solvent-based wastes from the production, formulation and use of resins, latex, plasticisers, glues and adhesives.</t>
  </si>
  <si>
    <t>F130</t>
  </si>
  <si>
    <t>Ethers and highly flammable hydrocarbons, such as petrol and jet fuel.</t>
  </si>
  <si>
    <t>Non-halogenated organic solvents.</t>
  </si>
  <si>
    <t>Dry-cleaning wastes containing organic solvents, such as perchloroethylene.</t>
  </si>
  <si>
    <t>G130</t>
  </si>
  <si>
    <t>Halogenated organic solvents.</t>
  </si>
  <si>
    <t>Wastes from the production, formulation  and use of organic solvents, NOS.</t>
  </si>
  <si>
    <t>Waste from the production, formulation  and use of biocides and phytopharmaceuticals, NOS.</t>
  </si>
  <si>
    <t>Organophosphorus pesticides.</t>
  </si>
  <si>
    <t>Mixed pesticide residue.</t>
  </si>
  <si>
    <t>H160</t>
  </si>
  <si>
    <t>Copper-chrome-arsenic  (CCA).</t>
  </si>
  <si>
    <t>Waste oils unfit  for their original  intended  use (lubricating, hydraulic).</t>
  </si>
  <si>
    <t>Waste hydrocarbons.</t>
  </si>
  <si>
    <t>J110</t>
  </si>
  <si>
    <t>Waste oils and water mixtures or emulsions, and hydrocarbon and water mixtures or emulsions.</t>
  </si>
  <si>
    <t>Triple interceptor waste and stormwater contaminated with oil or hydrocarbons.</t>
  </si>
  <si>
    <t>J130</t>
  </si>
  <si>
    <t>Transformer fluids (excluding PCBs).</t>
  </si>
  <si>
    <t>J140</t>
  </si>
  <si>
    <t>Other (cutting oils, soluble oils).</t>
  </si>
  <si>
    <t>J150</t>
  </si>
  <si>
    <t>Soils/ sludges contaminated with residues of substances in Basel Y-codes 19-45</t>
  </si>
  <si>
    <t>Tarry residues arising from refining, distillation  and any pyrolytic treatment.</t>
  </si>
  <si>
    <t>Used oil filters.  Note: this waste must be reused or recycled and is prohibited from disposal to landfill.</t>
  </si>
  <si>
    <t>J170</t>
  </si>
  <si>
    <t>Animal effluent and residues.  Examples: abattoir  wastes, poultry  wastes, fish and shellfish wastes.</t>
  </si>
  <si>
    <t>Grease interceptor trap effluent.</t>
  </si>
  <si>
    <t>K120</t>
  </si>
  <si>
    <t>Tannery wastes (not containing chromium) and wool scouring wastes.</t>
  </si>
  <si>
    <t>Food and beverage processing wastes, including animal and vegetable oils and derivatives.</t>
  </si>
  <si>
    <t>K200</t>
  </si>
  <si>
    <t>L</t>
  </si>
  <si>
    <t>Car and truck washwaters.</t>
  </si>
  <si>
    <t>L100</t>
  </si>
  <si>
    <t>Industrial washwaters from cleaning, rinsing or washing operations,  NOS.
Examples: textile cleaning/processing  effluent  NOS, industrial plant and machinery washwaters, cooling tower washwaters.</t>
  </si>
  <si>
    <t>L150</t>
  </si>
  <si>
    <t>Polychlorinated biphenyls (PCBs) (PCBs &gt;50 mg per kg).</t>
  </si>
  <si>
    <t>Waste substances and articles containing or contaminated with polychlorinated biphenyls (PCBs) ([PCBs] &gt;50 mg per kg).</t>
  </si>
  <si>
    <t>M110</t>
  </si>
  <si>
    <t>Solvents, oils and materials contaminated with  PCBs ([PCBs] &gt;2 mg per kg and [PCBs] &lt;50 mg per kg).</t>
  </si>
  <si>
    <t>M120</t>
  </si>
  <si>
    <t>Non-halogenated organic chemicals (non solvent), NOS. Examples: glycol coolant, radiator fluid, brake fluid.</t>
  </si>
  <si>
    <t>M130</t>
  </si>
  <si>
    <t>Phenol and phenol compounds, including halogenated phenols.</t>
  </si>
  <si>
    <t>Halogenated organic chemicals, NOS.</t>
  </si>
  <si>
    <t>Isocyanate compounds (organic).</t>
  </si>
  <si>
    <t>Amines and other nitrogen compounds.</t>
  </si>
  <si>
    <t>Detergents and surface active agents (surfactants).</t>
  </si>
  <si>
    <t>Highly odorous organic chemicals (including mercaptans and acrylates).</t>
  </si>
  <si>
    <t>Prescribed waste residues in rigid steel or plastic containers with an original volume less than 200 litres (hazardous substances to be specified).</t>
  </si>
  <si>
    <t>Prescribed waste residues in rigid steel or plastic containers with an original volume greater than or equal to 200 litres (hazardous substances to be specified).
Note: this waste must be reused or recycled and is prohibited from disposal to landfill.</t>
  </si>
  <si>
    <t>N105</t>
  </si>
  <si>
    <t>Prescribed waste residues in bags or containers not specified under N100 and N105 (hazardous substances to be specified).</t>
  </si>
  <si>
    <t>N110</t>
  </si>
  <si>
    <t>Category A contaminated  soil - hazardous substances to be specified. (Refer to EPA guidance material for details on identifying Hazard Category). Note: these wastes must not be disposed directly to landfill without prior treatment.</t>
  </si>
  <si>
    <t>N119</t>
  </si>
  <si>
    <t>Category  B contaminated soil - hazardous substances to be specified. (Refer to EPA guidance material for details on identifying Hazard Category).</t>
  </si>
  <si>
    <t>Category C contaminated soil - hazardous substances to be specified. (Refer to EPA guidance material for details on identifying Hazard Category).</t>
  </si>
  <si>
    <t>N121</t>
  </si>
  <si>
    <t>Spent catalysts (must specify contaminants).</t>
  </si>
  <si>
    <t>N130</t>
  </si>
  <si>
    <t>Fire debris and fire wash-waters that are contaminated with chemicals (must specify contaminants).</t>
  </si>
  <si>
    <t>Fly ash.</t>
  </si>
  <si>
    <t>Prescribed industrial wastes that are immobilised in accordance with a classification issued by EPA.</t>
  </si>
  <si>
    <t>Prescribed industrial wastes that are chemically fixed and/or encapsulated.</t>
  </si>
  <si>
    <t>N170</t>
  </si>
  <si>
    <t>Prescribed industrial waste that are solidified or polymerised.</t>
  </si>
  <si>
    <t>N180</t>
  </si>
  <si>
    <t>Filter cake.</t>
  </si>
  <si>
    <t>Ion-exchange column residues.</t>
  </si>
  <si>
    <t>N200</t>
  </si>
  <si>
    <t>Residues from pollution control operations, NOS. Examples: activated  carbon, baghouse dust, residues from industrial waste disposal operations.</t>
  </si>
  <si>
    <t xml:space="preserve">N210 </t>
  </si>
  <si>
    <t>Asbestos.</t>
  </si>
  <si>
    <t>Ceramic-based fibres with physico-chemical characteristics similar to those of asbestos.</t>
  </si>
  <si>
    <t>Absorbents contaminated with prescribed waste residues, such as rags contaminated with oils, hydrocarbons and organic solvents (must specify contaminants).</t>
  </si>
  <si>
    <t>N250</t>
  </si>
  <si>
    <t>Solid wastes contaminated with prescribed waste residues, NOS (must specify contaminants).
Examples: contaminated bricks and concrete, contaminated steel, shredder floc.</t>
  </si>
  <si>
    <t>N260</t>
  </si>
  <si>
    <t>Clinical and related wastes, NOS (biomedical waste).</t>
  </si>
  <si>
    <t>Pathogenic substances and quarantine wastes.</t>
  </si>
  <si>
    <t>R110</t>
  </si>
  <si>
    <t>Waste from the use of pharmaceutical products, NOS.</t>
  </si>
  <si>
    <t>Cytotoxic substances.</t>
  </si>
  <si>
    <t>R130</t>
  </si>
  <si>
    <t>Waste from the production of pharmaceutical products and cosmetics, NOS.</t>
  </si>
  <si>
    <t>Waste chemical substances arising from laboratories, research and development, or teaching activities.</t>
  </si>
  <si>
    <t>Waste from the production, formulation  and use of photographic chemicals and processing materials (which do not contain silver).</t>
  </si>
  <si>
    <t>Inert sludges or slurries, such as clay or ceramic suspensions, drilling  mud, and pit water with negligible hydrocarbon contamination.</t>
  </si>
  <si>
    <t>T130</t>
  </si>
  <si>
    <t>Foundry sands.</t>
  </si>
  <si>
    <t>T160</t>
  </si>
  <si>
    <t>Waste chemicals in small quantities,  NOS, such  as collected household chemicals.</t>
  </si>
  <si>
    <t>T170</t>
  </si>
  <si>
    <t>Adjusted Vic data</t>
  </si>
  <si>
    <t>Data not collected</t>
  </si>
  <si>
    <t>This worksheet translates data on Queensland regulated wastes into Basel codes (via NEPM codes)</t>
  </si>
  <si>
    <t>QLD regulated wastes</t>
  </si>
  <si>
    <t>Waste from surface treatment of metals or plastics</t>
  </si>
  <si>
    <t>Waste from heat treatment or tempering operations that use cyanides</t>
  </si>
  <si>
    <t>Acidic solutions and acids in solid form</t>
  </si>
  <si>
    <t>Basic (a;kaline) solutions or bases (alkalis) in solid form</t>
  </si>
  <si>
    <t>Inorganic fluorine compounds (other than calcium fluoride).</t>
  </si>
  <si>
    <t>Lead and lead compounds including lead-acid batteries.</t>
  </si>
  <si>
    <t>Barium compounds other than barium sulfate.</t>
  </si>
  <si>
    <t>Non-toxic salts, for example, saline effluent</t>
  </si>
  <si>
    <t>Phosphorus compounds other than mineral phosphates</t>
  </si>
  <si>
    <t>Organic solvents other than halogenated solvents, including, for example, ethanol</t>
  </si>
  <si>
    <t>Mineral oils</t>
  </si>
  <si>
    <t>Oil and water mixtures or emulsions, or hydrocarbons and water mixtures or emulsions</t>
  </si>
  <si>
    <t>Tarry residues arising from refining, distillation, and any pyrolytic treatment</t>
  </si>
  <si>
    <t>Sewage sludge and residues including nightsoil and septic tank sludge</t>
  </si>
  <si>
    <t>K130</t>
  </si>
  <si>
    <t>Material containing polychlorinated biphenyls (PCB's), polychlorinated napthalenes (PCN's), polychlorinated terphenyls (PCT's) and/or polybrominated biphenyls (PBB's)</t>
  </si>
  <si>
    <t>Organo halogen compounds—other than substances referred to in this Table</t>
  </si>
  <si>
    <t>Waste containers</t>
  </si>
  <si>
    <t>Pharmaceuticals, drugs and medicines</t>
  </si>
  <si>
    <t>Chemical waste arising from research and development or teaching activity, including new or unidentified material and material whose effects on human health or the environment are not known</t>
  </si>
  <si>
    <t>Waste of an explosive nature other than explosives within the meaning of the Explosives Act 1999</t>
  </si>
  <si>
    <t>Adjusted Qld data</t>
  </si>
  <si>
    <r>
      <t xml:space="preserve">Blue Environment &amp; Randell Environmental Consulting (in press) </t>
    </r>
    <r>
      <rPr>
        <i/>
        <sz val="10"/>
        <color theme="1"/>
        <rFont val="Calibri"/>
        <family val="2"/>
        <scheme val="minor"/>
      </rPr>
      <t>Waste Generation and Resource Recovery in Australia</t>
    </r>
    <r>
      <rPr>
        <sz val="10"/>
        <color theme="1"/>
        <rFont val="Calibri"/>
        <family val="2"/>
        <scheme val="minor"/>
      </rPr>
      <t>, prepared for the Commonwealth Department of the Environment, available from: http://www.environment.gov.au/resource/waste-generation-and-resource-recovery-australia-report-and-data-workbooks</t>
    </r>
  </si>
  <si>
    <t>Contaminated soil generated in each 6 months relevant to this work (tonnes)</t>
  </si>
  <si>
    <t>This worksheet translates data on Tasmanian prescribed wastes into Basel codes (via NEPM codes)</t>
  </si>
  <si>
    <t>TAS - Prescribed Wastes</t>
  </si>
  <si>
    <t>Animal effluent and residues (abattoir effluent, poultry and fish processing waste)</t>
  </si>
  <si>
    <t>Sewage sludge, sewage residue, nightsoil or sludge from an on-site waste water management system</t>
  </si>
  <si>
    <t>Wool scouring waste</t>
  </si>
  <si>
    <t>Waste substances and articles containing or contaminated with polychlorinated biphenyls (PCBs), polychlorinated naphthalenes (PCNs), polychlorinated terphenyls (PCTs) and/or polybrominated biphenyls (PBBs)</t>
  </si>
  <si>
    <t>Organohalogen compounds - other than substances referred to in this list</t>
  </si>
  <si>
    <t>Cyanides (organic)/nitriles</t>
  </si>
  <si>
    <t>Containers which are contaminated with residues of substances referred to in this list</t>
  </si>
  <si>
    <t>Fire debris and fire washwaters</t>
  </si>
  <si>
    <t>Fly ash excluding fly ash generated from Australian coal fired power stations</t>
  </si>
  <si>
    <t>Encapsulated, chemically-fixed, solidified or polymerised wastes (referred to in this list)</t>
  </si>
  <si>
    <t>Q</t>
  </si>
  <si>
    <t>A waste within the meaning of the Quarantine Regulations 2000 of the Commonwealth, as amended</t>
  </si>
  <si>
    <t>Q100</t>
  </si>
  <si>
    <t>Exhibits an environmentally significant characteristic and is derived or arises from an agvet chemical as defined in the Dangerous Substances (Safe Handling) Act 2005</t>
  </si>
  <si>
    <t>Q200</t>
  </si>
  <si>
    <t>Exhibits an environmentally significant characteristic and is derived or arises from dangerous goods as defined in the Dangerous Goods (Safe Transport) Act 1998</t>
  </si>
  <si>
    <t>Q300</t>
  </si>
  <si>
    <t>Exhibits an environmentally significant characteristic and is derived or arises from a poison as defined in the Poisons Act 1971</t>
  </si>
  <si>
    <t>Q400</t>
  </si>
  <si>
    <t>Exhibits an environmentally significant characteristic and is derived or arises from a scheduled waste within the meaning of a National Management Plan*</t>
  </si>
  <si>
    <t>Q500</t>
  </si>
  <si>
    <t>Waste chemical substances arising from research and development or teaching activities including those which are not identified and/or are new and whose effects on human health and/or the environment are not known.</t>
  </si>
  <si>
    <t>T190</t>
  </si>
  <si>
    <t>Oxidising Agents</t>
  </si>
  <si>
    <t>T210</t>
  </si>
  <si>
    <t>Reducing agents</t>
  </si>
  <si>
    <t>T220</t>
  </si>
  <si>
    <t>Adjusted Tas data</t>
  </si>
  <si>
    <t>Putrescible/ organics waste</t>
  </si>
  <si>
    <t>NT - controlled wastes (NEPM)</t>
  </si>
  <si>
    <t>This worksheet translates data on NT controlled wastes into Basel codes (via NEPM codes)</t>
  </si>
  <si>
    <t>Adjusted NT data</t>
  </si>
  <si>
    <t>This worksheet translates data on NSW trackable wastes into Basel codes (via NEPM codes)</t>
  </si>
  <si>
    <t>NSW trackable wastes (List 1 and List 2)</t>
  </si>
  <si>
    <t>Containers and drums that are contaminated with residues of substances referred to in this Table</t>
  </si>
  <si>
    <t>Adjusted NSW data</t>
  </si>
  <si>
    <t>Asbestos generated in each 6 months relevant to this work (tonnes)</t>
  </si>
  <si>
    <t xml:space="preserve">Compiled from NEPM import data from ACT, NSW, SA, Vic &amp; WA. Qld &amp; Tas did not provide NEPM import data. </t>
  </si>
  <si>
    <t>Soils contaminated with a substance or waste referred to in this Table</t>
  </si>
  <si>
    <t>Consultant estimate was provided for 2012 data</t>
  </si>
  <si>
    <t>Jan-Jun</t>
  </si>
  <si>
    <t>Jul-Dec</t>
  </si>
  <si>
    <t>Total</t>
  </si>
  <si>
    <t>Total amount of hazardous wastes under Art. 1 (1)a (Annex I: Y1-Y45) generated</t>
  </si>
  <si>
    <t>Introduction to this data collation workbook</t>
  </si>
  <si>
    <t>Biosolids data and assumptions</t>
  </si>
  <si>
    <t>Assumptions:</t>
  </si>
  <si>
    <t>Tonnes generated = sum of all end uses (agriculture, composting, forestry, landfill, sea, stockpile, unspecified)</t>
  </si>
  <si>
    <r>
      <t xml:space="preserve">Note: This assumption differs from that applied in </t>
    </r>
    <r>
      <rPr>
        <i/>
        <sz val="11"/>
        <color theme="1"/>
        <rFont val="Calibri"/>
        <family val="2"/>
        <scheme val="minor"/>
      </rPr>
      <t>Waste Generation and Resource Recovery in Australia</t>
    </r>
    <r>
      <rPr>
        <sz val="11"/>
        <color theme="1"/>
        <rFont val="Calibri"/>
        <family val="2"/>
        <scheme val="minor"/>
      </rPr>
      <t>, which excludes waste allocated in the source data to 'stockpile' and 'unspecified'. The broader definition applied here is consistent with the Basel Convention's definition of waste generation.</t>
    </r>
  </si>
  <si>
    <t>For the mixed NSW/ACT and NT/WA data (below), the tonnage proportions can be separated based on production tonnages using Fig 2 below</t>
  </si>
  <si>
    <t>Biosolids Production and End Use - 2010</t>
  </si>
  <si>
    <t>Source:</t>
  </si>
  <si>
    <t>Australian &amp; New Zealand Biosolids Partnership  (http://www.biosolids.com.au/bs-australia.php), as presented in the data workbook supporting: Blue Environment &amp; Randell Environmental Consulting (2014) Waste Generation and Resource Recovery in Australia, prepared for the Commonwealth Department of the Environment, available from: http://www.environment.gov.au/resource/waste-generation-and-resource-recovery-australia-report-and-data-workbooks</t>
  </si>
  <si>
    <t>Management</t>
  </si>
  <si>
    <t>End Use</t>
  </si>
  <si>
    <t>New South Wales / ACT</t>
  </si>
  <si>
    <t>Re-Use</t>
  </si>
  <si>
    <t>Agriculture</t>
  </si>
  <si>
    <t>Source for Figure 2</t>
  </si>
  <si>
    <t>Composting</t>
  </si>
  <si>
    <t>DSEWPaC (2011) Biosolids snapshot, prepared by Pollution Solutions and Design, available from: http://www.environment.gov.au/resource/biosolids-snapshot</t>
  </si>
  <si>
    <t>Forestry</t>
  </si>
  <si>
    <t>Landfill / Stockpile</t>
  </si>
  <si>
    <t>Landfill</t>
  </si>
  <si>
    <t>Sea</t>
  </si>
  <si>
    <t>Stockpile</t>
  </si>
  <si>
    <t>Unspecified</t>
  </si>
  <si>
    <t>Queensland</t>
  </si>
  <si>
    <t>South Australia</t>
  </si>
  <si>
    <t>Tasmania</t>
  </si>
  <si>
    <t>Victoria</t>
  </si>
  <si>
    <t>Western Australia &amp; Northern Territory</t>
  </si>
  <si>
    <t>SEE THE CALCULATIONS BELOW</t>
  </si>
  <si>
    <t>ACT input to Australia's Basel Convention report 2013</t>
  </si>
  <si>
    <t>NSW input to Australia's Basel Convention report 2013</t>
  </si>
  <si>
    <t>NT input to Australia's Basel Convention report 2013</t>
  </si>
  <si>
    <t>QLD input to Australia's Basel Convention report 2013</t>
  </si>
  <si>
    <t>SA input to Australia's Basel Convention report 2013</t>
  </si>
  <si>
    <t>Tasmania input to Australia's Basel Convention report 2013</t>
  </si>
  <si>
    <t>VIC input to Australia's Basel Convention report 2013</t>
  </si>
  <si>
    <t>National data sets, 2013</t>
  </si>
  <si>
    <t>Adjusted jurisdictional data, 2013</t>
  </si>
  <si>
    <t>This worksheet translates generation data on WA controlled wastes into Basel codes (via NEPM codes)</t>
  </si>
  <si>
    <t>Cell containing data</t>
  </si>
  <si>
    <t>Commonwealth to provide estimate</t>
  </si>
  <si>
    <t>Data understood to be not collected</t>
  </si>
  <si>
    <t>NEW</t>
  </si>
  <si>
    <t>Plating and Heat Treatment</t>
  </si>
  <si>
    <t>Waste from heat treatment and tempering processes which use cyanide</t>
  </si>
  <si>
    <t>Basic solution or bases in solid form</t>
  </si>
  <si>
    <t>Inorganic Chemicals</t>
  </si>
  <si>
    <t>Inorganic fluorine compounds (excluding calcium flouride)</t>
  </si>
  <si>
    <t>Mercury and mercury compounds</t>
  </si>
  <si>
    <t>Arsenic and arsenic compounds</t>
  </si>
  <si>
    <t>Chromium compounds</t>
  </si>
  <si>
    <t>Tannery wastes containing chromium</t>
  </si>
  <si>
    <t>Cadmium and cadmium compounds</t>
  </si>
  <si>
    <t>D151</t>
  </si>
  <si>
    <t>Used nickel cadmium batteries</t>
  </si>
  <si>
    <t>Beryllium and beryllium compounds</t>
  </si>
  <si>
    <t>Antimony and antimony compounds</t>
  </si>
  <si>
    <t>Thallium and thallium compounds</t>
  </si>
  <si>
    <t>D211</t>
  </si>
  <si>
    <t>Used nickel metal hydride batteries</t>
  </si>
  <si>
    <t>Lead and lead compounds</t>
  </si>
  <si>
    <t>D221</t>
  </si>
  <si>
    <t>Used lead acid batteries</t>
  </si>
  <si>
    <t>Selenium and selenium compounds</t>
  </si>
  <si>
    <t>Tellurium and tellurium compounds</t>
  </si>
  <si>
    <t>Barium and barium compounds</t>
  </si>
  <si>
    <t>Inorganic sulphides</t>
  </si>
  <si>
    <t>Phosphorous</t>
  </si>
  <si>
    <t>Reactive Chemicals</t>
  </si>
  <si>
    <t>Waste containing peroxides excluding hydrogen peroxide</t>
  </si>
  <si>
    <t>Waste of an explosive natures not subject to other legislation</t>
  </si>
  <si>
    <t>Highly reactive chemicals not otherwise specified</t>
  </si>
  <si>
    <t>Paints, Resins, Inks and Organic Sludge</t>
  </si>
  <si>
    <t>Aqueous based waste from the production, formulation and use of inks, dyes, pigments, paints, lacquers and varnish</t>
  </si>
  <si>
    <t>Aqueous based waste from the production, formulation and use of resins, latex, plasticisers, glues and adhesives</t>
  </si>
  <si>
    <t>Solvent based waste from the production, formulation and use of inks, dyes, pigments, paints, lacquers and varnish</t>
  </si>
  <si>
    <t>Solvent based waste from the production, formulation and use of resins, latex, plasticisers, glues and adhesives</t>
  </si>
  <si>
    <t>Organic Solvents</t>
  </si>
  <si>
    <t>Ethers and highly flammable hydrocarbons</t>
  </si>
  <si>
    <t>Non-halogenated organic solvents</t>
  </si>
  <si>
    <t>Dry cleaning waste containing perchlorothylene</t>
  </si>
  <si>
    <t>Halogenated organic solvents not otherwise specified</t>
  </si>
  <si>
    <t>Waste from production, use and formulation of organic solvents not otherwise specified</t>
  </si>
  <si>
    <t>Waste from production, formulation or use of biocides &amp; phytopharmaceuticals</t>
  </si>
  <si>
    <t>H130</t>
  </si>
  <si>
    <t>Waste wood preserving chemicals</t>
  </si>
  <si>
    <t>Oils and Emulsions</t>
  </si>
  <si>
    <t>Waste oils unfit for their intended purpose</t>
  </si>
  <si>
    <t>Waste oil and water mixtures or emulsions and hydrocarbon and water mixtures or emulsions</t>
  </si>
  <si>
    <t>Waste tarry residues arising from refining, distillation or pyrolytic treatment</t>
  </si>
  <si>
    <t>Used oil filters</t>
  </si>
  <si>
    <t>J180</t>
  </si>
  <si>
    <t>Oil sludge</t>
  </si>
  <si>
    <t>Putrescible and Organic Wastes</t>
  </si>
  <si>
    <t>Animal effluent and residues</t>
  </si>
  <si>
    <t>Waste from grease traps</t>
  </si>
  <si>
    <t>Sewage waste from reticulated sewerage system</t>
  </si>
  <si>
    <t>Tannery wastes not containing chromium</t>
  </si>
  <si>
    <t>Food and beverage processing waste</t>
  </si>
  <si>
    <t>K210</t>
  </si>
  <si>
    <t>Septage wastes</t>
  </si>
  <si>
    <t>Organic Chemicals</t>
  </si>
  <si>
    <t>Waste substances containing PCBs</t>
  </si>
  <si>
    <t>M105</t>
  </si>
  <si>
    <t>Waste containing PBB, PCN, PCT</t>
  </si>
  <si>
    <t>Non halogenated organic chemicals</t>
  </si>
  <si>
    <t>Phenols</t>
  </si>
  <si>
    <t>Organohalogen compounds not otherwise listed</t>
  </si>
  <si>
    <t>Polychlorinated dibenzo-furan</t>
  </si>
  <si>
    <t>Polychlorinated dibenzo-p-doxin</t>
  </si>
  <si>
    <t>Cyanides and nitriles</t>
  </si>
  <si>
    <t>Triethylamine catalysts</t>
  </si>
  <si>
    <t>Surfactants and detergents</t>
  </si>
  <si>
    <t>Highly odorous chemicals including mercaptans and acrylates</t>
  </si>
  <si>
    <t>Soils and Sludge</t>
  </si>
  <si>
    <t>Containers or drums contaminated with residues of controlled waste</t>
  </si>
  <si>
    <t>Fire debris and wash water</t>
  </si>
  <si>
    <t>Encapsulated, chemically fixed, solidified or polymerised controlled wastes</t>
  </si>
  <si>
    <t>Filter cake containing controlled waste</t>
  </si>
  <si>
    <t>Industrial waste treatment plant residues</t>
  </si>
  <si>
    <t>Ceramic based fibres similar to asbestos</t>
  </si>
  <si>
    <t>Cytotoxic waste</t>
  </si>
  <si>
    <t>Waste from production or prearation of pharmaceutical products</t>
  </si>
  <si>
    <t>Waste chemical substances arising from research and development or teaching activities</t>
  </si>
  <si>
    <t>Waste from production or formulation of photographic chemicals or processing materials</t>
  </si>
  <si>
    <t>Double/triple count</t>
  </si>
  <si>
    <t>Above</t>
  </si>
  <si>
    <r>
      <t xml:space="preserve">WA input to Australia's Basel Convention report 2013    </t>
    </r>
    <r>
      <rPr>
        <b/>
        <i/>
        <sz val="16"/>
        <color rgb="FFFF0000"/>
        <rFont val="Calibri"/>
        <family val="2"/>
        <scheme val="minor"/>
      </rPr>
      <t>Note: this worksheet has been updated to be consistent with the new WA classification system for controlled wastes</t>
    </r>
  </si>
  <si>
    <t>✔</t>
  </si>
  <si>
    <t>✖</t>
  </si>
  <si>
    <t>Australian Bureau of Statistics (2013) 3101.0 Australian Demographic Statistics, December 2013, TABLE 4. Estimated Resident Population, States and Territories (Number), available from: http://www.abs.gov.au/AUSSTATS/abs@.nsf/DetailsPage/3101.0Dec%202013?OpenDocument</t>
  </si>
  <si>
    <t>(Blue outline)</t>
  </si>
  <si>
    <t>(Red shading)</t>
  </si>
  <si>
    <t>Australian weighted average</t>
  </si>
  <si>
    <t>Weighted averages</t>
  </si>
  <si>
    <t>Per six-monthly period</t>
  </si>
  <si>
    <t>Gap data 1: Calculation of the weighted average quantity of validated waste generated (grams per capita)</t>
  </si>
  <si>
    <t>Population (middle of period):</t>
  </si>
  <si>
    <t>Key to data validation</t>
  </si>
  <si>
    <t>Key to data QA checks</t>
  </si>
  <si>
    <t xml:space="preserve">Gap data 2: Additional data used for filling gaps or replacing or completing jurisdictional data </t>
  </si>
  <si>
    <t>?</t>
  </si>
  <si>
    <t>Jurisdiction confirms the initial data that generate this figure</t>
  </si>
  <si>
    <t>Jurisdiction believes the data generating this figure is erroneous but cannot correct it</t>
  </si>
  <si>
    <t>Not used</t>
  </si>
  <si>
    <t>2012-13</t>
  </si>
  <si>
    <t>Waste of an explosive nature not subject to other legislation, including azides</t>
  </si>
  <si>
    <t>This workbook compiles, adjusts and totals the jurisdictional data underpinning Australia's 2013 Basel data report. It also compiles the jurisdictional data in NEPM codes. Where possible, the data is collated in six-monthly units to enable compilation by financial year, as well as by calendar year as required for the Basel report.</t>
  </si>
  <si>
    <t>Inquiries to Joe Pickin 0403 562 621 or (03) 5426 3536.</t>
  </si>
  <si>
    <t>For the stated waste type and six-monthly period, the quantity in grams per capita reported by the jurisdiction is:</t>
  </si>
  <si>
    <t>… greater than 1000x or less than 0.001x the national annual average</t>
  </si>
  <si>
    <t>… greater than 1000x or less than 0.001x the other six-monthly period in this year</t>
  </si>
  <si>
    <t>… greater than 500x or less than 0.0005x the quantity received over the whole of the previous year</t>
  </si>
  <si>
    <t>The data the listed source is more comprehensive or accurate than data reported by any jurisdiction for this waste type</t>
  </si>
  <si>
    <t>The quantity of tyres is assumed to have increased in proportion to population since the reporting year</t>
  </si>
  <si>
    <t>For the other waste types listed, the waste generation rate in each six-monthly period relevant to this work is equal to that stated in the listed source</t>
  </si>
  <si>
    <t>Population, December 2009</t>
  </si>
  <si>
    <t>Dry tonnes</t>
  </si>
  <si>
    <t>Wet tonnes</t>
  </si>
  <si>
    <t>(Data)</t>
  </si>
  <si>
    <t>(Estimated)</t>
  </si>
  <si>
    <t>NSW &amp; ACT</t>
  </si>
  <si>
    <t>WA &amp; NT</t>
  </si>
  <si>
    <t>(WGRRA estimate)</t>
  </si>
  <si>
    <r>
      <t>wet t</t>
    </r>
    <r>
      <rPr>
        <b/>
        <vertAlign val="subscript"/>
        <sz val="11"/>
        <color rgb="FF000000"/>
        <rFont val="Calibri"/>
        <family val="2"/>
        <scheme val="minor"/>
      </rPr>
      <t>biosolids</t>
    </r>
  </si>
  <si>
    <t>Biosolids</t>
  </si>
  <si>
    <t>Biosolids generated in Australia, 2013</t>
  </si>
  <si>
    <t>Total amount of hazardous wastes under Art. 1 (1)b generated</t>
  </si>
  <si>
    <t>Total amount of other wastes (Annex II: Y46 - Y47)</t>
  </si>
  <si>
    <t>Jurisdiction is unable to confirm the initial data that generated this figure</t>
  </si>
  <si>
    <t>Jurisdiction has provided corrected data in relation to this figure</t>
  </si>
  <si>
    <t>Key to other codes</t>
  </si>
  <si>
    <t>(blank)  … no data provided</t>
  </si>
  <si>
    <t>(Green shading) … an alternative data source will be used so no validation is needed</t>
  </si>
  <si>
    <t xml:space="preserve">This worksheet undertakes automated QA checks on jurisdictional data translated into NEPM codes, and provides for validation of that data by the states &amp; territories </t>
  </si>
  <si>
    <t>'15' code</t>
  </si>
  <si>
    <t>'75' code</t>
  </si>
  <si>
    <t>Version 5, November 2014 - Final</t>
  </si>
  <si>
    <t xml:space="preserve">The workbook was developed by Blue Environment, supported by Randell Environmental Consulting and Ascend Waste and Environment. It is designed for jurisdictions to enter their own data, but this year the data has been inserted by the above consultant team, who are working for the Department of the Environment on the Hazardous waste infrastructure and data project. Details about the project and about the original version of this workbook are given in the project report. </t>
  </si>
  <si>
    <t>Consultant has split data reported annually into equal six-monthly blocks for consistency</t>
  </si>
  <si>
    <t>Other consultant adjustment made - details given in comment box</t>
  </si>
  <si>
    <t>Liquid food processing waste</t>
  </si>
  <si>
    <t>Data was provided annually rather than in six-monthly blocks.</t>
  </si>
  <si>
    <t>Data provided only for 2012-13. Used as the best estimate of 2013 arisings.</t>
  </si>
  <si>
    <t>Data not mapped to NEPM or Basel codes</t>
  </si>
  <si>
    <t>i.e. Y-codes 1-45 + the eight additional hazardous waste codes</t>
  </si>
  <si>
    <t xml:space="preserve"> i.e. Y-codes 1-45</t>
  </si>
  <si>
    <t xml:space="preserve"> i.e. Y-codes 46 &amp; 47 (household wastes and incineration residues)</t>
  </si>
  <si>
    <t>2013 total</t>
  </si>
  <si>
    <t>Asbestos generated, 2012/13</t>
  </si>
  <si>
    <t>Contaminated soils, 2012/13</t>
  </si>
  <si>
    <t xml:space="preserve">Email from Sarah Sutton (EPA NSW) to Geoff Latimer (Ascend Waste and Environment) dated 26-11-14 </t>
  </si>
  <si>
    <t>Email from Glenn Ellis (EHP Qld) to Joe Pickin (Blue Environment) dated 3-10-14</t>
  </si>
  <si>
    <t>Australian six monthly average</t>
  </si>
  <si>
    <t>2013 data reported by the states &amp; territories, converted to grams per capita</t>
  </si>
  <si>
    <t>2012 annual data previously reported by states &amp; territories (g/capita, for automated comparison)</t>
  </si>
  <si>
    <t>2013 data reported by the states &amp; territories</t>
  </si>
  <si>
    <t>Quality assurance checks - FOR ACTION BY THE STATES &amp; TERRITORIES</t>
  </si>
</sst>
</file>

<file path=xl/styles.xml><?xml version="1.0" encoding="utf-8"?>
<styleSheet xmlns="http://schemas.openxmlformats.org/spreadsheetml/2006/main">
  <numFmts count="4">
    <numFmt numFmtId="43" formatCode="_-* #,##0.00_-;\-* #,##0.00_-;_-* &quot;-&quot;??_-;_-@_-"/>
    <numFmt numFmtId="164" formatCode="_ * #,##0_ ;_ * \-#,##0_ ;_ * &quot;-&quot;_ ;_ @_ "/>
    <numFmt numFmtId="165" formatCode="#,##0.000"/>
    <numFmt numFmtId="166" formatCode="_ * #,##0.00_ ;_ * \-#,##0.00_ ;_ * &quot;-&quot;??_ ;_ @_ "/>
  </numFmts>
  <fonts count="104">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indexed="8"/>
      <name val="Calibri"/>
      <family val="2"/>
    </font>
    <font>
      <sz val="10"/>
      <color indexed="8"/>
      <name val="Calibri"/>
      <family val="2"/>
    </font>
    <font>
      <b/>
      <sz val="11"/>
      <color indexed="9"/>
      <name val="Calibri"/>
      <family val="2"/>
    </font>
    <font>
      <sz val="10"/>
      <color indexed="8"/>
      <name val="Calibri"/>
      <family val="2"/>
    </font>
    <font>
      <b/>
      <sz val="10"/>
      <color indexed="9"/>
      <name val="Calibri"/>
      <family val="2"/>
    </font>
    <font>
      <b/>
      <sz val="10"/>
      <color indexed="9"/>
      <name val="Calibri"/>
      <family val="2"/>
    </font>
    <font>
      <b/>
      <sz val="10"/>
      <name val="Calibri"/>
      <family val="2"/>
    </font>
    <font>
      <b/>
      <sz val="10"/>
      <color indexed="8"/>
      <name val="Calibri"/>
      <family val="2"/>
    </font>
    <font>
      <sz val="10"/>
      <name val="Arial"/>
      <family val="2"/>
    </font>
    <font>
      <sz val="10"/>
      <name val="Arial"/>
      <family val="2"/>
    </font>
    <font>
      <sz val="10"/>
      <color indexed="9"/>
      <name val="Calibri"/>
      <family val="2"/>
    </font>
    <font>
      <sz val="16"/>
      <color indexed="8"/>
      <name val="Calibri"/>
      <family val="2"/>
    </font>
    <font>
      <b/>
      <sz val="16"/>
      <color indexed="9"/>
      <name val="Calibri"/>
      <family val="2"/>
    </font>
    <font>
      <sz val="16"/>
      <color indexed="9"/>
      <name val="Calibri"/>
      <family val="2"/>
    </font>
    <font>
      <sz val="12"/>
      <color indexed="8"/>
      <name val="Calibri"/>
      <family val="2"/>
    </font>
    <font>
      <b/>
      <sz val="16"/>
      <name val="Calibri"/>
      <family val="2"/>
    </font>
    <font>
      <b/>
      <sz val="14"/>
      <color indexed="9"/>
      <name val="Calibri"/>
      <family val="2"/>
    </font>
    <font>
      <b/>
      <sz val="14"/>
      <name val="Calibri"/>
      <family val="2"/>
    </font>
    <font>
      <u/>
      <sz val="10"/>
      <color indexed="12"/>
      <name val="Calibri"/>
      <family val="2"/>
    </font>
    <font>
      <sz val="8"/>
      <name val="Calibri"/>
      <family val="2"/>
    </font>
    <font>
      <u/>
      <sz val="11"/>
      <color rgb="FF0000FF"/>
      <name val="Calibri"/>
      <family val="2"/>
      <scheme val="minor"/>
    </font>
    <font>
      <u/>
      <sz val="11"/>
      <color theme="10"/>
      <name val="Calibri"/>
      <family val="2"/>
      <scheme val="minor"/>
    </font>
    <font>
      <b/>
      <sz val="10"/>
      <color theme="0"/>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16"/>
      <name val="Calibri"/>
      <family val="2"/>
      <scheme val="minor"/>
    </font>
    <font>
      <sz val="16"/>
      <color theme="1"/>
      <name val="Calibri"/>
      <family val="2"/>
      <scheme val="minor"/>
    </font>
    <font>
      <sz val="16"/>
      <color theme="0"/>
      <name val="Calibri"/>
      <family val="2"/>
      <scheme val="minor"/>
    </font>
    <font>
      <sz val="12"/>
      <color theme="1"/>
      <name val="Calibri"/>
      <family val="2"/>
      <scheme val="minor"/>
    </font>
    <font>
      <b/>
      <sz val="14"/>
      <name val="Calibri"/>
      <family val="2"/>
      <scheme val="minor"/>
    </font>
    <font>
      <u/>
      <sz val="10"/>
      <color theme="10"/>
      <name val="Calibri"/>
      <family val="2"/>
      <scheme val="minor"/>
    </font>
    <font>
      <sz val="11"/>
      <name val="Calibri"/>
      <family val="2"/>
      <scheme val="minor"/>
    </font>
    <font>
      <b/>
      <sz val="14"/>
      <color theme="0"/>
      <name val="Calibri"/>
      <family val="2"/>
      <scheme val="minor"/>
    </font>
    <font>
      <b/>
      <sz val="1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0"/>
      <color indexed="8"/>
      <name val="Calibri"/>
      <family val="2"/>
      <scheme val="minor"/>
    </font>
    <font>
      <b/>
      <sz val="10"/>
      <color indexed="9"/>
      <name val="Calibri"/>
      <family val="2"/>
      <scheme val="minor"/>
    </font>
    <font>
      <sz val="9"/>
      <color indexed="81"/>
      <name val="Tahoma"/>
      <family val="2"/>
    </font>
    <font>
      <b/>
      <sz val="9"/>
      <color indexed="81"/>
      <name val="Tahoma"/>
      <family val="2"/>
    </font>
    <font>
      <b/>
      <sz val="12"/>
      <color theme="1"/>
      <name val="Calibri"/>
      <family val="2"/>
      <scheme val="minor"/>
    </font>
    <font>
      <sz val="10"/>
      <color rgb="FF00B050"/>
      <name val="Calibri"/>
      <family val="2"/>
      <scheme val="minor"/>
    </font>
    <font>
      <i/>
      <sz val="10"/>
      <color theme="1"/>
      <name val="Calibri"/>
      <family val="2"/>
      <scheme val="minor"/>
    </font>
    <font>
      <b/>
      <sz val="16"/>
      <color theme="0"/>
      <name val="Calibri"/>
      <family val="2"/>
      <scheme val="minor"/>
    </font>
    <font>
      <b/>
      <i/>
      <sz val="10"/>
      <color indexed="8"/>
      <name val="Calibri"/>
      <family val="2"/>
    </font>
    <font>
      <b/>
      <sz val="12"/>
      <color theme="0"/>
      <name val="Calibri"/>
      <family val="2"/>
      <scheme val="minor"/>
    </font>
    <font>
      <sz val="9"/>
      <name val="Calibri"/>
      <family val="2"/>
      <scheme val="minor"/>
    </font>
    <font>
      <sz val="10"/>
      <color rgb="FFFF0000"/>
      <name val="Calibri"/>
      <family val="2"/>
      <scheme val="minor"/>
    </font>
    <font>
      <b/>
      <sz val="10"/>
      <color theme="0"/>
      <name val="Calibri"/>
      <family val="2"/>
    </font>
    <font>
      <b/>
      <sz val="11"/>
      <color theme="0"/>
      <name val="Calibri"/>
      <family val="2"/>
      <scheme val="minor"/>
    </font>
    <font>
      <sz val="10"/>
      <color rgb="FF333333"/>
      <name val="Calibri"/>
      <family val="2"/>
      <scheme val="minor"/>
    </font>
    <font>
      <b/>
      <sz val="10"/>
      <name val="Arial"/>
      <family val="2"/>
    </font>
    <font>
      <sz val="14"/>
      <color theme="1"/>
      <name val="Calibri"/>
      <family val="2"/>
      <scheme val="minor"/>
    </font>
    <font>
      <sz val="10"/>
      <name val="Calibri"/>
      <family val="2"/>
    </font>
    <font>
      <b/>
      <sz val="12"/>
      <name val="Calibri"/>
      <family val="2"/>
      <scheme val="minor"/>
    </font>
    <font>
      <sz val="11"/>
      <color theme="1"/>
      <name val="Calibri"/>
      <family val="2"/>
      <scheme val="minor"/>
    </font>
    <font>
      <u/>
      <sz val="7.7"/>
      <color rgb="FF0000FF"/>
      <name val="Calibri"/>
      <family val="2"/>
    </font>
    <font>
      <sz val="11"/>
      <color rgb="FFFF0000"/>
      <name val="Calibri"/>
      <family val="2"/>
      <scheme val="minor"/>
    </font>
    <font>
      <i/>
      <sz val="11"/>
      <color theme="1"/>
      <name val="Calibri"/>
      <family val="2"/>
      <scheme val="minor"/>
    </font>
    <font>
      <b/>
      <sz val="11"/>
      <color rgb="FF000000"/>
      <name val="Calibri"/>
      <family val="2"/>
      <scheme val="minor"/>
    </font>
    <font>
      <i/>
      <sz val="11"/>
      <color rgb="FF000000"/>
      <name val="Calibri"/>
      <family val="2"/>
      <scheme val="minor"/>
    </font>
    <font>
      <u/>
      <sz val="11"/>
      <color theme="10"/>
      <name val="Calibri"/>
      <family val="2"/>
    </font>
    <font>
      <sz val="11"/>
      <color rgb="FF000000"/>
      <name val="Calibri"/>
      <family val="2"/>
      <scheme val="minor"/>
    </font>
    <font>
      <b/>
      <vertAlign val="subscript"/>
      <sz val="11"/>
      <color rgb="FF000000"/>
      <name val="Calibri"/>
      <family val="2"/>
      <scheme val="minor"/>
    </font>
    <font>
      <sz val="11"/>
      <color rgb="FF00B050"/>
      <name val="Calibri"/>
      <family val="2"/>
      <scheme val="minor"/>
    </font>
    <font>
      <sz val="14"/>
      <color rgb="FFFF0000"/>
      <name val="Calibri"/>
      <family val="2"/>
      <scheme val="minor"/>
    </font>
    <font>
      <sz val="9"/>
      <color theme="1"/>
      <name val="Calibri"/>
      <family val="2"/>
      <scheme val="minor"/>
    </font>
    <font>
      <b/>
      <i/>
      <sz val="16"/>
      <color rgb="FFFF0000"/>
      <name val="Calibri"/>
      <family val="2"/>
      <scheme val="minor"/>
    </font>
    <font>
      <sz val="10"/>
      <color theme="0" tint="-0.499984740745262"/>
      <name val="Calibri"/>
      <family val="2"/>
      <scheme val="minor"/>
    </font>
    <font>
      <sz val="10"/>
      <color theme="0" tint="-0.499984740745262"/>
      <name val="Calibri"/>
      <family val="2"/>
    </font>
    <font>
      <i/>
      <sz val="10"/>
      <name val="Calibri"/>
      <family val="2"/>
      <scheme val="minor"/>
    </font>
    <font>
      <b/>
      <i/>
      <sz val="14"/>
      <color theme="1"/>
      <name val="Calibri"/>
      <family val="2"/>
      <scheme val="minor"/>
    </font>
    <font>
      <b/>
      <sz val="18"/>
      <name val="Calibri"/>
      <family val="2"/>
      <scheme val="minor"/>
    </font>
    <font>
      <b/>
      <sz val="18"/>
      <color theme="0"/>
      <name val="Calibri"/>
      <family val="2"/>
      <scheme val="minor"/>
    </font>
    <font>
      <b/>
      <sz val="10"/>
      <color rgb="FF00B050"/>
      <name val="Calibri"/>
      <family val="2"/>
      <scheme val="minor"/>
    </font>
  </fonts>
  <fills count="37">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indexed="1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1"/>
        <bgColor indexed="64"/>
      </patternFill>
    </fill>
    <fill>
      <patternFill patternType="solid">
        <fgColor rgb="FFCCFFFF"/>
        <bgColor indexed="64"/>
      </patternFill>
    </fill>
    <fill>
      <patternFill patternType="solid">
        <fgColor rgb="FFFFCC99"/>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7C80"/>
        <bgColor indexed="64"/>
      </patternFill>
    </fill>
    <fill>
      <patternFill patternType="solid">
        <fgColor theme="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CC66"/>
        <bgColor indexed="64"/>
      </patternFill>
    </fill>
    <fill>
      <patternFill patternType="solid">
        <fgColor rgb="FFFF9933"/>
        <bgColor indexed="64"/>
      </patternFill>
    </fill>
    <fill>
      <patternFill patternType="solid">
        <fgColor rgb="FFFF330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8"/>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top style="thin">
        <color indexed="8"/>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8"/>
      </left>
      <right style="thin">
        <color indexed="64"/>
      </right>
      <top/>
      <bottom style="thin">
        <color indexed="64"/>
      </bottom>
      <diagonal/>
    </border>
    <border>
      <left/>
      <right/>
      <top style="thin">
        <color rgb="FFFF0000"/>
      </top>
      <bottom style="thin">
        <color rgb="FFFF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auto="1"/>
      </left>
      <right style="thin">
        <color auto="1"/>
      </right>
      <top/>
      <bottom style="thin">
        <color auto="1"/>
      </bottom>
      <diagonal/>
    </border>
    <border>
      <left style="thin">
        <color rgb="FF0000FF"/>
      </left>
      <right style="thin">
        <color rgb="FF0000FF"/>
      </right>
      <top style="thin">
        <color rgb="FF0000FF"/>
      </top>
      <bottom style="thin">
        <color rgb="FF0000FF"/>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1"/>
      </left>
      <right style="thin">
        <color rgb="FF0000FF"/>
      </right>
      <top/>
      <bottom style="thin">
        <color theme="1"/>
      </bottom>
      <diagonal/>
    </border>
    <border>
      <left style="thin">
        <color rgb="FF0000FF"/>
      </left>
      <right/>
      <top/>
      <bottom style="thin">
        <color theme="1"/>
      </bottom>
      <diagonal/>
    </border>
    <border>
      <left/>
      <right/>
      <top/>
      <bottom style="thin">
        <color theme="1"/>
      </bottom>
      <diagonal/>
    </border>
    <border>
      <left/>
      <right style="thin">
        <color indexed="64"/>
      </right>
      <top/>
      <bottom style="thin">
        <color theme="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7">
    <xf numFmtId="0" fontId="0" fillId="0" borderId="0"/>
    <xf numFmtId="164" fontId="36" fillId="0" borderId="0" applyFon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5" fillId="0" borderId="0"/>
    <xf numFmtId="164" fontId="35" fillId="0" borderId="0" applyFont="0" applyFill="0" applyBorder="0" applyAlignment="0" applyProtection="0"/>
    <xf numFmtId="0" fontId="84" fillId="0" borderId="0"/>
    <xf numFmtId="0" fontId="35" fillId="0" borderId="0"/>
    <xf numFmtId="0" fontId="35" fillId="0" borderId="0"/>
    <xf numFmtId="0" fontId="85" fillId="0" borderId="0" applyNumberFormat="0" applyFill="0" applyBorder="0" applyAlignment="0" applyProtection="0">
      <alignment vertical="top"/>
      <protection locked="0"/>
    </xf>
    <xf numFmtId="166" fontId="35" fillId="0" borderId="0" applyFont="0" applyFill="0" applyBorder="0" applyAlignment="0" applyProtection="0"/>
    <xf numFmtId="0" fontId="48" fillId="0" borderId="0" applyNumberFormat="0" applyFill="0" applyBorder="0" applyAlignment="0" applyProtection="0"/>
    <xf numFmtId="0" fontId="35" fillId="0" borderId="0"/>
    <xf numFmtId="0" fontId="84" fillId="0" borderId="0"/>
    <xf numFmtId="0" fontId="35" fillId="0" borderId="0"/>
    <xf numFmtId="0" fontId="90" fillId="0" borderId="0" applyNumberFormat="0" applyFill="0" applyBorder="0" applyAlignment="0" applyProtection="0">
      <alignment vertical="top"/>
      <protection locked="0"/>
    </xf>
    <xf numFmtId="43" fontId="84" fillId="0" borderId="0" applyFont="0" applyFill="0" applyBorder="0" applyAlignment="0" applyProtection="0"/>
  </cellStyleXfs>
  <cellXfs count="943">
    <xf numFmtId="0" fontId="0" fillId="0" borderId="0" xfId="0"/>
    <xf numFmtId="0" fontId="33" fillId="4" borderId="2" xfId="4" applyFont="1" applyFill="1" applyBorder="1" applyAlignment="1">
      <alignment horizontal="center" vertical="center" wrapText="1"/>
    </xf>
    <xf numFmtId="0" fontId="33" fillId="4" borderId="2" xfId="4" applyFont="1" applyFill="1" applyBorder="1" applyAlignment="1">
      <alignment horizontal="left" vertical="center" wrapText="1"/>
    </xf>
    <xf numFmtId="0" fontId="31" fillId="3" borderId="2" xfId="0" applyFont="1" applyFill="1" applyBorder="1" applyAlignment="1">
      <alignment vertical="center" wrapText="1"/>
    </xf>
    <xf numFmtId="0" fontId="30" fillId="6" borderId="0" xfId="0" applyFont="1" applyFill="1"/>
    <xf numFmtId="0" fontId="30" fillId="6" borderId="0" xfId="0" applyFont="1" applyFill="1" applyBorder="1"/>
    <xf numFmtId="0" fontId="37" fillId="6" borderId="0" xfId="0" applyFont="1" applyFill="1" applyBorder="1"/>
    <xf numFmtId="0" fontId="39" fillId="7" borderId="0" xfId="0" applyFont="1" applyFill="1"/>
    <xf numFmtId="0" fontId="38" fillId="7" borderId="0" xfId="0" applyFont="1" applyFill="1" applyBorder="1" applyAlignment="1">
      <alignment vertical="center"/>
    </xf>
    <xf numFmtId="0" fontId="40" fillId="7" borderId="0" xfId="0" applyFont="1" applyFill="1" applyBorder="1" applyAlignment="1">
      <alignment vertical="center"/>
    </xf>
    <xf numFmtId="0" fontId="31" fillId="7" borderId="0" xfId="0" applyFont="1" applyFill="1" applyBorder="1" applyAlignment="1">
      <alignment horizontal="center" vertical="center" wrapText="1"/>
    </xf>
    <xf numFmtId="0" fontId="31" fillId="7" borderId="0" xfId="0" applyFont="1" applyFill="1" applyBorder="1" applyAlignment="1">
      <alignment vertical="center" wrapText="1"/>
    </xf>
    <xf numFmtId="0" fontId="30" fillId="7" borderId="0" xfId="0" applyFont="1" applyFill="1" applyBorder="1"/>
    <xf numFmtId="0" fontId="32" fillId="7" borderId="2" xfId="0" applyFont="1" applyFill="1" applyBorder="1" applyAlignment="1">
      <alignment horizontal="center" vertical="center"/>
    </xf>
    <xf numFmtId="0" fontId="32" fillId="7" borderId="2" xfId="0" applyFont="1" applyFill="1" applyBorder="1" applyAlignment="1">
      <alignment horizontal="left" vertical="center"/>
    </xf>
    <xf numFmtId="0" fontId="32" fillId="7" borderId="10" xfId="0" applyFont="1" applyFill="1" applyBorder="1" applyAlignment="1">
      <alignment horizontal="center" vertical="center"/>
    </xf>
    <xf numFmtId="0" fontId="31" fillId="7" borderId="2" xfId="0" applyFont="1" applyFill="1" applyBorder="1" applyAlignment="1">
      <alignment horizontal="center" vertical="center" wrapText="1"/>
    </xf>
    <xf numFmtId="0" fontId="43" fillId="7" borderId="0" xfId="0" applyFont="1" applyFill="1" applyBorder="1"/>
    <xf numFmtId="0" fontId="52" fillId="0" borderId="1" xfId="4" applyFont="1" applyFill="1" applyBorder="1" applyAlignment="1">
      <alignment vertical="top"/>
    </xf>
    <xf numFmtId="0" fontId="52" fillId="0" borderId="1" xfId="4" applyFont="1" applyFill="1" applyBorder="1" applyAlignment="1">
      <alignment vertical="top" wrapText="1"/>
    </xf>
    <xf numFmtId="0" fontId="53" fillId="8" borderId="0" xfId="0" applyFont="1" applyFill="1"/>
    <xf numFmtId="0" fontId="54" fillId="8" borderId="0" xfId="0" applyFont="1" applyFill="1" applyBorder="1" applyAlignment="1">
      <alignment vertical="center"/>
    </xf>
    <xf numFmtId="0" fontId="55" fillId="8" borderId="0" xfId="0" applyFont="1" applyFill="1" applyBorder="1" applyAlignment="1">
      <alignment vertical="center"/>
    </xf>
    <xf numFmtId="0" fontId="49" fillId="8" borderId="0" xfId="0" applyFont="1" applyFill="1" applyBorder="1" applyAlignment="1">
      <alignment horizontal="center" vertical="center" wrapText="1"/>
    </xf>
    <xf numFmtId="0" fontId="49" fillId="8" borderId="0" xfId="0" applyFont="1" applyFill="1" applyBorder="1" applyAlignment="1">
      <alignment vertical="center" wrapText="1"/>
    </xf>
    <xf numFmtId="0" fontId="53" fillId="8" borderId="0" xfId="4" applyFont="1" applyFill="1" applyBorder="1" applyAlignment="1">
      <alignment horizontal="center" vertical="center" wrapText="1"/>
    </xf>
    <xf numFmtId="0" fontId="56" fillId="9" borderId="0" xfId="0" applyFont="1" applyFill="1" applyAlignment="1">
      <alignment vertical="center"/>
    </xf>
    <xf numFmtId="0" fontId="26" fillId="9" borderId="0" xfId="0" applyFont="1" applyFill="1" applyAlignment="1">
      <alignment vertical="center"/>
    </xf>
    <xf numFmtId="0" fontId="50" fillId="9" borderId="0" xfId="0" applyFont="1" applyFill="1" applyAlignment="1">
      <alignment horizontal="left" vertical="center"/>
    </xf>
    <xf numFmtId="0" fontId="51" fillId="9" borderId="0" xfId="0" applyFont="1" applyFill="1" applyBorder="1" applyAlignment="1">
      <alignment vertical="center"/>
    </xf>
    <xf numFmtId="0" fontId="26" fillId="9" borderId="0" xfId="0" applyFont="1" applyFill="1" applyAlignment="1">
      <alignment horizontal="center" vertical="center"/>
    </xf>
    <xf numFmtId="0" fontId="50" fillId="9" borderId="0" xfId="0" applyFont="1" applyFill="1" applyAlignment="1">
      <alignment vertical="center"/>
    </xf>
    <xf numFmtId="0" fontId="58" fillId="9" borderId="0" xfId="3" applyFont="1" applyFill="1" applyAlignment="1">
      <alignment vertical="center"/>
    </xf>
    <xf numFmtId="0" fontId="57" fillId="8" borderId="17" xfId="0" applyFont="1" applyFill="1" applyBorder="1"/>
    <xf numFmtId="0" fontId="52" fillId="8" borderId="17" xfId="0" applyFont="1" applyFill="1" applyBorder="1"/>
    <xf numFmtId="0" fontId="52" fillId="9" borderId="8" xfId="0" applyFont="1" applyFill="1" applyBorder="1"/>
    <xf numFmtId="0" fontId="26" fillId="9" borderId="0" xfId="0" applyFont="1" applyFill="1"/>
    <xf numFmtId="0" fontId="33" fillId="8" borderId="2" xfId="0" applyFont="1" applyFill="1" applyBorder="1" applyAlignment="1">
      <alignment horizontal="center" vertical="center"/>
    </xf>
    <xf numFmtId="0" fontId="33" fillId="8" borderId="2" xfId="0" applyFont="1" applyFill="1" applyBorder="1" applyAlignment="1">
      <alignment horizontal="left" vertical="center"/>
    </xf>
    <xf numFmtId="0" fontId="33" fillId="8" borderId="10" xfId="0" applyFont="1" applyFill="1" applyBorder="1" applyAlignment="1">
      <alignment horizontal="center" vertical="center"/>
    </xf>
    <xf numFmtId="0" fontId="61" fillId="8" borderId="2"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49" fillId="13" borderId="2" xfId="0" applyFont="1" applyFill="1" applyBorder="1" applyAlignment="1">
      <alignment horizontal="center" vertical="center" wrapText="1"/>
    </xf>
    <xf numFmtId="0" fontId="49" fillId="13" borderId="2" xfId="0" applyFont="1" applyFill="1" applyBorder="1" applyAlignment="1">
      <alignment vertical="center" wrapText="1"/>
    </xf>
    <xf numFmtId="0" fontId="61" fillId="4" borderId="2" xfId="4" applyFont="1" applyFill="1" applyBorder="1" applyAlignment="1">
      <alignment horizontal="center" vertical="center" wrapText="1"/>
    </xf>
    <xf numFmtId="0" fontId="61" fillId="4" borderId="2" xfId="4" applyFont="1" applyFill="1" applyBorder="1" applyAlignment="1">
      <alignment horizontal="left" vertical="center" wrapText="1"/>
    </xf>
    <xf numFmtId="0" fontId="61" fillId="14" borderId="2" xfId="0" applyFont="1" applyFill="1" applyBorder="1" applyAlignment="1">
      <alignment horizontal="center" vertical="center" wrapText="1"/>
    </xf>
    <xf numFmtId="0" fontId="26" fillId="0" borderId="7" xfId="0" applyFont="1" applyFill="1" applyBorder="1" applyAlignment="1">
      <alignment horizontal="center" vertical="top"/>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center"/>
    </xf>
    <xf numFmtId="0" fontId="26" fillId="0" borderId="17" xfId="0" applyFont="1" applyFill="1" applyBorder="1" applyAlignment="1">
      <alignment horizontal="center" vertical="top"/>
    </xf>
    <xf numFmtId="0" fontId="26" fillId="0" borderId="7" xfId="0" applyFont="1" applyFill="1" applyBorder="1" applyAlignment="1">
      <alignment horizontal="left" vertical="top" wrapText="1"/>
    </xf>
    <xf numFmtId="0" fontId="26" fillId="0" borderId="8" xfId="0" applyFont="1" applyFill="1" applyBorder="1" applyAlignment="1">
      <alignment horizontal="center" vertical="top"/>
    </xf>
    <xf numFmtId="0" fontId="26" fillId="0" borderId="0" xfId="0" applyFont="1" applyFill="1" applyBorder="1" applyAlignment="1">
      <alignment horizontal="center" vertical="top"/>
    </xf>
    <xf numFmtId="0" fontId="26" fillId="0" borderId="8" xfId="0" applyFont="1" applyFill="1" applyBorder="1" applyAlignment="1">
      <alignment horizontal="left" vertical="top" wrapText="1"/>
    </xf>
    <xf numFmtId="0" fontId="26" fillId="0" borderId="2" xfId="0" applyFont="1" applyFill="1" applyBorder="1" applyAlignment="1">
      <alignment horizontal="center" vertical="top"/>
    </xf>
    <xf numFmtId="0" fontId="26" fillId="0" borderId="4" xfId="0" applyFont="1" applyFill="1" applyBorder="1" applyAlignment="1">
      <alignment horizontal="center" vertical="top"/>
    </xf>
    <xf numFmtId="0" fontId="26" fillId="0" borderId="2" xfId="0" applyFont="1" applyFill="1" applyBorder="1" applyAlignment="1">
      <alignment horizontal="left" vertical="top" wrapText="1"/>
    </xf>
    <xf numFmtId="0" fontId="26" fillId="0" borderId="1" xfId="0" applyFont="1" applyFill="1" applyBorder="1" applyAlignment="1">
      <alignment horizontal="center" vertical="top"/>
    </xf>
    <xf numFmtId="0" fontId="26" fillId="0" borderId="6" xfId="0" applyFont="1" applyFill="1" applyBorder="1" applyAlignment="1">
      <alignment horizontal="center" vertical="top"/>
    </xf>
    <xf numFmtId="0" fontId="26" fillId="0" borderId="16" xfId="0" applyFont="1" applyFill="1" applyBorder="1" applyAlignment="1">
      <alignment horizontal="center" vertical="top"/>
    </xf>
    <xf numFmtId="0" fontId="26" fillId="0" borderId="18" xfId="0" applyFont="1" applyFill="1" applyBorder="1" applyAlignment="1">
      <alignment horizontal="center" vertical="top"/>
    </xf>
    <xf numFmtId="0" fontId="61" fillId="14" borderId="3" xfId="4" applyFont="1" applyFill="1" applyBorder="1" applyAlignment="1">
      <alignment vertical="center" wrapText="1"/>
    </xf>
    <xf numFmtId="0" fontId="61" fillId="4" borderId="4" xfId="4" applyFont="1" applyFill="1" applyBorder="1" applyAlignment="1">
      <alignment horizontal="left" vertical="center" wrapText="1"/>
    </xf>
    <xf numFmtId="0" fontId="61" fillId="14" borderId="5" xfId="4" applyNumberFormat="1" applyFont="1" applyFill="1" applyBorder="1" applyAlignment="1">
      <alignment horizontal="center" vertical="center" wrapText="1"/>
    </xf>
    <xf numFmtId="0" fontId="61" fillId="14" borderId="6" xfId="4" applyNumberFormat="1" applyFont="1" applyFill="1" applyBorder="1" applyAlignment="1">
      <alignment horizontal="center" vertical="center" wrapText="1"/>
    </xf>
    <xf numFmtId="0" fontId="26" fillId="0" borderId="11" xfId="0" applyFont="1" applyFill="1" applyBorder="1" applyAlignment="1">
      <alignment horizontal="center" vertical="top"/>
    </xf>
    <xf numFmtId="0" fontId="26" fillId="0" borderId="12" xfId="0" applyFont="1" applyFill="1" applyBorder="1" applyAlignment="1">
      <alignment horizontal="center" vertical="top"/>
    </xf>
    <xf numFmtId="0" fontId="26" fillId="0" borderId="9" xfId="0" applyFont="1" applyFill="1" applyBorder="1" applyAlignment="1">
      <alignment horizontal="center" vertical="top"/>
    </xf>
    <xf numFmtId="0" fontId="26" fillId="0" borderId="13" xfId="0" applyFont="1" applyFill="1" applyBorder="1" applyAlignment="1">
      <alignment horizontal="center" vertical="top"/>
    </xf>
    <xf numFmtId="0" fontId="26" fillId="0" borderId="14" xfId="0" applyFont="1" applyFill="1" applyBorder="1" applyAlignment="1">
      <alignment horizontal="center" vertical="top"/>
    </xf>
    <xf numFmtId="0" fontId="26" fillId="9" borderId="8" xfId="0" applyFont="1" applyFill="1" applyBorder="1"/>
    <xf numFmtId="0" fontId="61" fillId="4" borderId="3" xfId="4" applyFont="1" applyFill="1" applyBorder="1" applyAlignment="1">
      <alignment horizontal="center" vertical="center" wrapText="1"/>
    </xf>
    <xf numFmtId="0" fontId="61" fillId="14" borderId="4" xfId="4" applyFont="1" applyFill="1" applyBorder="1" applyAlignment="1">
      <alignment horizontal="left" vertical="center" wrapText="1"/>
    </xf>
    <xf numFmtId="0" fontId="61" fillId="14" borderId="5" xfId="0" applyFont="1" applyFill="1" applyBorder="1" applyAlignment="1">
      <alignment horizontal="center" vertical="center" wrapText="1"/>
    </xf>
    <xf numFmtId="0" fontId="61" fillId="14" borderId="6" xfId="0" applyFont="1" applyFill="1" applyBorder="1" applyAlignment="1">
      <alignment horizontal="center" vertical="center" wrapText="1"/>
    </xf>
    <xf numFmtId="0" fontId="26" fillId="0" borderId="1" xfId="0" applyFont="1" applyFill="1" applyBorder="1"/>
    <xf numFmtId="0" fontId="26" fillId="9" borderId="0" xfId="0" applyFont="1" applyFill="1" applyBorder="1"/>
    <xf numFmtId="0" fontId="62" fillId="9" borderId="0" xfId="0" applyFont="1" applyFill="1" applyBorder="1" applyAlignment="1">
      <alignment horizontal="center" vertical="center"/>
    </xf>
    <xf numFmtId="0" fontId="26" fillId="9" borderId="0" xfId="0" applyFont="1" applyFill="1" applyAlignment="1">
      <alignment horizontal="right"/>
    </xf>
    <xf numFmtId="3" fontId="26" fillId="0" borderId="1" xfId="0" applyNumberFormat="1" applyFont="1" applyFill="1" applyBorder="1" applyAlignment="1">
      <alignment horizontal="right" vertical="center"/>
    </xf>
    <xf numFmtId="0" fontId="63" fillId="15" borderId="0" xfId="0" applyFont="1" applyFill="1" applyBorder="1" applyAlignment="1">
      <alignment vertical="center"/>
    </xf>
    <xf numFmtId="0" fontId="54" fillId="15" borderId="0" xfId="0" applyFont="1" applyFill="1" applyBorder="1" applyAlignment="1">
      <alignment vertical="top"/>
    </xf>
    <xf numFmtId="0" fontId="54" fillId="15" borderId="0" xfId="0" applyFont="1" applyFill="1" applyBorder="1" applyAlignment="1">
      <alignment vertical="center"/>
    </xf>
    <xf numFmtId="0" fontId="50" fillId="15" borderId="0" xfId="0" applyFont="1" applyFill="1" applyBorder="1" applyAlignment="1">
      <alignment horizontal="center" vertical="center" wrapText="1"/>
    </xf>
    <xf numFmtId="0" fontId="50" fillId="15" borderId="0" xfId="0" applyFont="1" applyFill="1" applyBorder="1" applyAlignment="1">
      <alignment horizontal="center" vertical="top" wrapText="1"/>
    </xf>
    <xf numFmtId="0" fontId="50" fillId="15" borderId="0" xfId="0" applyFont="1" applyFill="1" applyBorder="1" applyAlignment="1">
      <alignment vertical="center" wrapText="1"/>
    </xf>
    <xf numFmtId="0" fontId="63" fillId="15" borderId="0" xfId="4" applyFont="1" applyFill="1" applyBorder="1" applyAlignment="1">
      <alignment horizontal="center" vertical="center" wrapText="1"/>
    </xf>
    <xf numFmtId="0" fontId="56" fillId="12" borderId="0" xfId="0" applyFont="1" applyFill="1" applyAlignment="1">
      <alignment vertical="center"/>
    </xf>
    <xf numFmtId="0" fontId="50" fillId="12" borderId="0" xfId="0" applyFont="1" applyFill="1" applyAlignment="1">
      <alignment horizontal="left" vertical="center"/>
    </xf>
    <xf numFmtId="0" fontId="51" fillId="12" borderId="0" xfId="0" applyFont="1" applyFill="1" applyBorder="1" applyAlignment="1">
      <alignment vertical="center"/>
    </xf>
    <xf numFmtId="0" fontId="50" fillId="12" borderId="0" xfId="0" applyFont="1" applyFill="1" applyAlignment="1">
      <alignment vertical="center"/>
    </xf>
    <xf numFmtId="0" fontId="58" fillId="12" borderId="0" xfId="3" applyFont="1" applyFill="1" applyAlignment="1">
      <alignment vertical="center"/>
    </xf>
    <xf numFmtId="0" fontId="64" fillId="15" borderId="15" xfId="0" applyFont="1" applyFill="1" applyBorder="1" applyAlignment="1">
      <alignment horizontal="left" vertical="center"/>
    </xf>
    <xf numFmtId="0" fontId="56" fillId="15" borderId="17" xfId="0" applyFont="1" applyFill="1" applyBorder="1" applyAlignment="1">
      <alignment vertical="top"/>
    </xf>
    <xf numFmtId="0" fontId="64" fillId="15" borderId="17" xfId="0" applyFont="1" applyFill="1" applyBorder="1" applyAlignment="1">
      <alignment horizontal="left" vertical="center"/>
    </xf>
    <xf numFmtId="0" fontId="64" fillId="15" borderId="16" xfId="0" applyFont="1" applyFill="1" applyBorder="1" applyAlignment="1">
      <alignment horizontal="left" vertical="center"/>
    </xf>
    <xf numFmtId="0" fontId="60" fillId="12" borderId="18" xfId="0" applyFont="1" applyFill="1" applyBorder="1" applyAlignment="1">
      <alignment horizontal="center" vertical="center" wrapText="1"/>
    </xf>
    <xf numFmtId="0" fontId="60" fillId="13" borderId="15" xfId="0" applyFont="1" applyFill="1" applyBorder="1" applyAlignment="1">
      <alignment horizontal="left" vertical="top"/>
    </xf>
    <xf numFmtId="0" fontId="60" fillId="13" borderId="17" xfId="0" applyFont="1" applyFill="1" applyBorder="1" applyAlignment="1">
      <alignment horizontal="left" vertical="center" wrapText="1"/>
    </xf>
    <xf numFmtId="0" fontId="60" fillId="13" borderId="16" xfId="0" applyFont="1" applyFill="1" applyBorder="1" applyAlignment="1">
      <alignment horizontal="left" vertical="center" wrapText="1"/>
    </xf>
    <xf numFmtId="0" fontId="57" fillId="4" borderId="15" xfId="4" applyFont="1" applyFill="1" applyBorder="1" applyAlignment="1">
      <alignment horizontal="left" vertical="center"/>
    </xf>
    <xf numFmtId="0" fontId="57" fillId="4" borderId="16" xfId="4" applyFont="1" applyFill="1" applyBorder="1" applyAlignment="1">
      <alignment horizontal="left" vertical="center" wrapText="1"/>
    </xf>
    <xf numFmtId="0" fontId="49" fillId="12" borderId="18" xfId="0" applyFont="1" applyFill="1" applyBorder="1" applyAlignment="1">
      <alignment horizontal="center" vertical="center" wrapText="1"/>
    </xf>
    <xf numFmtId="0" fontId="26" fillId="9" borderId="0" xfId="0" applyFont="1" applyFill="1" applyBorder="1" applyAlignment="1">
      <alignment horizontal="center"/>
    </xf>
    <xf numFmtId="0" fontId="26" fillId="0" borderId="15" xfId="0" applyFont="1" applyFill="1" applyBorder="1" applyAlignment="1">
      <alignment horizontal="center" vertical="top"/>
    </xf>
    <xf numFmtId="0" fontId="26" fillId="0" borderId="19" xfId="0" applyFont="1" applyFill="1" applyBorder="1" applyAlignment="1">
      <alignment horizontal="center" vertical="top"/>
    </xf>
    <xf numFmtId="0" fontId="26" fillId="0" borderId="10" xfId="0" applyFont="1" applyFill="1" applyBorder="1" applyAlignment="1">
      <alignment horizontal="center" vertical="top"/>
    </xf>
    <xf numFmtId="0" fontId="26" fillId="0" borderId="1" xfId="0" applyFont="1" applyFill="1" applyBorder="1" applyAlignment="1">
      <alignment wrapText="1"/>
    </xf>
    <xf numFmtId="0" fontId="26" fillId="0" borderId="1" xfId="0" applyFont="1" applyFill="1" applyBorder="1" applyAlignment="1">
      <alignment horizontal="left" wrapText="1"/>
    </xf>
    <xf numFmtId="0" fontId="26" fillId="17" borderId="8" xfId="0" applyFont="1" applyFill="1" applyBorder="1" applyAlignment="1">
      <alignment horizontal="center" vertical="top"/>
    </xf>
    <xf numFmtId="0" fontId="26" fillId="17" borderId="2" xfId="0" applyFont="1" applyFill="1" applyBorder="1" applyAlignment="1">
      <alignment horizontal="center" vertical="top"/>
    </xf>
    <xf numFmtId="0" fontId="26" fillId="9" borderId="0" xfId="0" applyFont="1" applyFill="1" applyAlignment="1">
      <alignment horizontal="center" vertical="top"/>
    </xf>
    <xf numFmtId="0" fontId="26" fillId="9" borderId="0" xfId="0" applyFont="1" applyFill="1" applyAlignment="1">
      <alignment vertical="top"/>
    </xf>
    <xf numFmtId="3" fontId="26" fillId="11" borderId="1" xfId="0" applyNumberFormat="1" applyFont="1" applyFill="1" applyBorder="1" applyAlignment="1">
      <alignment horizontal="right" vertical="center"/>
    </xf>
    <xf numFmtId="3" fontId="61" fillId="14" borderId="5" xfId="4" applyNumberFormat="1" applyFont="1" applyFill="1" applyBorder="1" applyAlignment="1">
      <alignment horizontal="right" vertical="center" wrapText="1"/>
    </xf>
    <xf numFmtId="3" fontId="61" fillId="14" borderId="6" xfId="4" applyNumberFormat="1" applyFont="1" applyFill="1" applyBorder="1" applyAlignment="1">
      <alignment horizontal="right" vertical="center" wrapText="1"/>
    </xf>
    <xf numFmtId="3" fontId="61" fillId="14" borderId="5" xfId="0" applyNumberFormat="1" applyFont="1" applyFill="1" applyBorder="1" applyAlignment="1">
      <alignment horizontal="right" vertical="center" wrapText="1"/>
    </xf>
    <xf numFmtId="3" fontId="61" fillId="14" borderId="6" xfId="0" applyNumberFormat="1" applyFont="1" applyFill="1" applyBorder="1" applyAlignment="1">
      <alignment horizontal="right" vertical="center" wrapText="1"/>
    </xf>
    <xf numFmtId="0" fontId="61" fillId="0" borderId="1" xfId="4" applyFont="1" applyFill="1" applyBorder="1" applyAlignment="1">
      <alignment horizontal="center" vertical="center" wrapText="1"/>
    </xf>
    <xf numFmtId="0" fontId="61" fillId="5" borderId="3" xfId="4" applyFont="1" applyFill="1" applyBorder="1" applyAlignment="1">
      <alignment vertical="center" wrapText="1"/>
    </xf>
    <xf numFmtId="0" fontId="65" fillId="0" borderId="1" xfId="0" applyFont="1" applyFill="1" applyBorder="1" applyAlignment="1">
      <alignment horizontal="center" vertical="top"/>
    </xf>
    <xf numFmtId="3" fontId="52" fillId="0" borderId="1" xfId="4" applyNumberFormat="1" applyFont="1" applyFill="1" applyBorder="1" applyAlignment="1" applyProtection="1">
      <alignment horizontal="right" vertical="center" wrapText="1"/>
      <protection locked="0"/>
    </xf>
    <xf numFmtId="3" fontId="52" fillId="0" borderId="1" xfId="4" applyNumberFormat="1" applyFont="1" applyFill="1" applyBorder="1" applyAlignment="1">
      <alignment horizontal="right" vertical="center" wrapText="1"/>
    </xf>
    <xf numFmtId="3" fontId="52" fillId="16" borderId="1" xfId="4" applyNumberFormat="1" applyFont="1" applyFill="1" applyBorder="1" applyAlignment="1" applyProtection="1">
      <alignment horizontal="right" vertical="center" wrapText="1"/>
      <protection locked="0"/>
    </xf>
    <xf numFmtId="3" fontId="52" fillId="16" borderId="1" xfId="4" applyNumberFormat="1" applyFont="1" applyFill="1" applyBorder="1" applyAlignment="1" applyProtection="1">
      <alignment horizontal="right" vertical="top" wrapText="1"/>
      <protection locked="0"/>
    </xf>
    <xf numFmtId="3" fontId="52" fillId="10" borderId="1" xfId="0" applyNumberFormat="1" applyFont="1" applyFill="1" applyBorder="1" applyAlignment="1">
      <alignment horizontal="right" vertical="center"/>
    </xf>
    <xf numFmtId="0" fontId="50" fillId="9" borderId="0" xfId="0" applyFont="1" applyFill="1" applyBorder="1" applyAlignment="1">
      <alignment horizontal="center" vertical="center"/>
    </xf>
    <xf numFmtId="0" fontId="65" fillId="0" borderId="7" xfId="0" applyFont="1" applyFill="1" applyBorder="1" applyAlignment="1">
      <alignment horizontal="center" vertical="top"/>
    </xf>
    <xf numFmtId="0" fontId="65" fillId="0" borderId="1" xfId="0" applyFont="1" applyFill="1" applyBorder="1" applyAlignment="1">
      <alignment horizontal="left" vertical="top"/>
    </xf>
    <xf numFmtId="0" fontId="65" fillId="0" borderId="3" xfId="0" applyFont="1" applyFill="1" applyBorder="1" applyAlignment="1">
      <alignment horizontal="center" vertical="center"/>
    </xf>
    <xf numFmtId="0" fontId="65" fillId="0" borderId="1" xfId="0" applyFont="1" applyFill="1" applyBorder="1" applyAlignment="1">
      <alignment horizontal="center" vertical="center"/>
    </xf>
    <xf numFmtId="0" fontId="65" fillId="0" borderId="1" xfId="0" applyFont="1" applyFill="1" applyBorder="1"/>
    <xf numFmtId="3" fontId="65" fillId="0" borderId="1" xfId="0" applyNumberFormat="1" applyFont="1" applyFill="1" applyBorder="1" applyAlignment="1">
      <alignment horizontal="right" vertical="center"/>
    </xf>
    <xf numFmtId="0" fontId="65" fillId="6" borderId="0" xfId="0" applyFont="1" applyFill="1"/>
    <xf numFmtId="0" fontId="65" fillId="0" borderId="8" xfId="0" applyFont="1" applyFill="1" applyBorder="1" applyAlignment="1">
      <alignment horizontal="center" vertical="top"/>
    </xf>
    <xf numFmtId="0" fontId="65" fillId="0" borderId="2" xfId="0" applyFont="1" applyFill="1" applyBorder="1" applyAlignment="1">
      <alignment horizontal="center" vertical="top"/>
    </xf>
    <xf numFmtId="0" fontId="61" fillId="5" borderId="5" xfId="4" applyNumberFormat="1" applyFont="1" applyFill="1" applyBorder="1" applyAlignment="1">
      <alignment horizontal="center" vertical="center" wrapText="1"/>
    </xf>
    <xf numFmtId="0" fontId="61" fillId="5" borderId="6" xfId="4" applyNumberFormat="1" applyFont="1" applyFill="1" applyBorder="1" applyAlignment="1">
      <alignment horizontal="center" vertical="center" wrapText="1"/>
    </xf>
    <xf numFmtId="0" fontId="65" fillId="0" borderId="12" xfId="0" applyFont="1" applyFill="1" applyBorder="1" applyAlignment="1">
      <alignment horizontal="center" vertical="top"/>
    </xf>
    <xf numFmtId="0" fontId="65" fillId="0" borderId="9" xfId="0" applyFont="1" applyFill="1" applyBorder="1" applyAlignment="1">
      <alignment horizontal="center" vertical="top"/>
    </xf>
    <xf numFmtId="0" fontId="65" fillId="0" borderId="13" xfId="0" applyFont="1" applyFill="1" applyBorder="1" applyAlignment="1">
      <alignment horizontal="center" vertical="top"/>
    </xf>
    <xf numFmtId="0" fontId="65" fillId="0" borderId="1" xfId="0" applyFont="1" applyFill="1" applyBorder="1" applyAlignment="1">
      <alignment horizontal="left" vertical="top" wrapText="1"/>
    </xf>
    <xf numFmtId="0" fontId="52" fillId="0" borderId="1" xfId="0" applyFont="1" applyFill="1" applyBorder="1" applyAlignment="1">
      <alignment horizontal="center" vertical="center" wrapText="1"/>
    </xf>
    <xf numFmtId="0" fontId="65" fillId="0" borderId="14" xfId="0" applyFont="1" applyFill="1" applyBorder="1" applyAlignment="1">
      <alignment horizontal="center" vertical="top"/>
    </xf>
    <xf numFmtId="0" fontId="65" fillId="0" borderId="1" xfId="0" applyFont="1" applyFill="1" applyBorder="1" applyAlignment="1">
      <alignment horizontal="left" wrapText="1"/>
    </xf>
    <xf numFmtId="0" fontId="61" fillId="5" borderId="4" xfId="4" applyFont="1" applyFill="1" applyBorder="1" applyAlignment="1">
      <alignment horizontal="left" vertical="center" wrapText="1"/>
    </xf>
    <xf numFmtId="0" fontId="61" fillId="5" borderId="5" xfId="0" applyFont="1" applyFill="1" applyBorder="1" applyAlignment="1">
      <alignment horizontal="center" vertical="center" wrapText="1"/>
    </xf>
    <xf numFmtId="0" fontId="61" fillId="5" borderId="6" xfId="0" applyFont="1" applyFill="1" applyBorder="1" applyAlignment="1">
      <alignment horizontal="center" vertical="center" wrapText="1"/>
    </xf>
    <xf numFmtId="3" fontId="52" fillId="2" borderId="1" xfId="0" applyNumberFormat="1" applyFont="1" applyFill="1" applyBorder="1" applyAlignment="1">
      <alignment horizontal="right" vertical="center"/>
    </xf>
    <xf numFmtId="0" fontId="50" fillId="9" borderId="8" xfId="0" applyFont="1" applyFill="1" applyBorder="1" applyAlignment="1">
      <alignment horizontal="center" vertical="center"/>
    </xf>
    <xf numFmtId="0" fontId="50" fillId="9" borderId="19" xfId="0" applyFont="1" applyFill="1" applyBorder="1" applyAlignment="1">
      <alignment horizontal="center" vertical="center"/>
    </xf>
    <xf numFmtId="0" fontId="49" fillId="13" borderId="10" xfId="0" applyFont="1" applyFill="1" applyBorder="1" applyAlignment="1">
      <alignment vertical="center" wrapText="1"/>
    </xf>
    <xf numFmtId="0" fontId="49" fillId="13" borderId="0" xfId="0" applyFont="1" applyFill="1" applyBorder="1" applyAlignment="1">
      <alignment horizontal="center" vertical="center" wrapText="1"/>
    </xf>
    <xf numFmtId="3" fontId="26" fillId="0" borderId="19" xfId="0" applyNumberFormat="1" applyFont="1" applyFill="1" applyBorder="1" applyAlignment="1">
      <alignment horizontal="right" vertical="center"/>
    </xf>
    <xf numFmtId="3" fontId="26" fillId="0" borderId="0" xfId="0" applyNumberFormat="1" applyFont="1" applyFill="1" applyBorder="1" applyAlignment="1">
      <alignment horizontal="right" vertical="center"/>
    </xf>
    <xf numFmtId="0" fontId="26" fillId="9" borderId="17" xfId="0" applyFont="1" applyFill="1" applyBorder="1"/>
    <xf numFmtId="3" fontId="26" fillId="0" borderId="15" xfId="0" applyNumberFormat="1" applyFont="1" applyFill="1" applyBorder="1" applyAlignment="1">
      <alignment horizontal="right" vertical="center"/>
    </xf>
    <xf numFmtId="3" fontId="26" fillId="0" borderId="17" xfId="0" applyNumberFormat="1" applyFont="1" applyFill="1" applyBorder="1" applyAlignment="1">
      <alignment horizontal="right" vertical="center"/>
    </xf>
    <xf numFmtId="0" fontId="52" fillId="9" borderId="0" xfId="0" applyFont="1" applyFill="1" applyAlignment="1">
      <alignment vertical="center"/>
    </xf>
    <xf numFmtId="0" fontId="26" fillId="0" borderId="7"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8" xfId="0" applyFont="1" applyFill="1" applyBorder="1" applyAlignment="1">
      <alignment horizontal="left" vertical="top" wrapText="1"/>
    </xf>
    <xf numFmtId="3" fontId="65" fillId="11" borderId="1" xfId="0" applyNumberFormat="1" applyFont="1" applyFill="1" applyBorder="1" applyAlignment="1">
      <alignment horizontal="right" vertical="center"/>
    </xf>
    <xf numFmtId="2" fontId="52" fillId="9" borderId="0" xfId="0" applyNumberFormat="1" applyFont="1" applyFill="1" applyBorder="1" applyAlignment="1">
      <alignment horizontal="right" vertical="center"/>
    </xf>
    <xf numFmtId="0" fontId="0" fillId="9" borderId="0" xfId="0" applyFill="1" applyBorder="1"/>
    <xf numFmtId="0" fontId="25" fillId="9" borderId="0" xfId="0" applyFont="1" applyFill="1" applyBorder="1"/>
    <xf numFmtId="0" fontId="70" fillId="0" borderId="0" xfId="0" applyFont="1" applyFill="1" applyBorder="1"/>
    <xf numFmtId="0" fontId="71" fillId="9" borderId="0" xfId="0" applyFont="1" applyFill="1"/>
    <xf numFmtId="0" fontId="41" fillId="9" borderId="0" xfId="0" applyFont="1" applyFill="1" applyAlignment="1">
      <alignment vertical="center"/>
    </xf>
    <xf numFmtId="0" fontId="28" fillId="9" borderId="0" xfId="0" applyFont="1" applyFill="1" applyAlignment="1">
      <alignment vertical="center"/>
    </xf>
    <xf numFmtId="0" fontId="27" fillId="9" borderId="0" xfId="0" applyFont="1" applyFill="1" applyAlignment="1">
      <alignment vertical="center"/>
    </xf>
    <xf numFmtId="0" fontId="34" fillId="9" borderId="0" xfId="0" applyFont="1" applyFill="1" applyAlignment="1">
      <alignment horizontal="left" vertical="center"/>
    </xf>
    <xf numFmtId="0" fontId="27" fillId="9" borderId="0" xfId="0" applyFont="1" applyFill="1" applyBorder="1" applyAlignment="1">
      <alignment vertical="center"/>
    </xf>
    <xf numFmtId="0" fontId="37" fillId="9" borderId="0" xfId="0" applyFont="1" applyFill="1" applyBorder="1" applyAlignment="1">
      <alignment vertical="center"/>
    </xf>
    <xf numFmtId="0" fontId="34" fillId="9" borderId="0" xfId="0" applyFont="1" applyFill="1" applyAlignment="1">
      <alignment vertical="center"/>
    </xf>
    <xf numFmtId="0" fontId="27" fillId="9" borderId="0" xfId="0" applyFont="1" applyFill="1" applyAlignment="1">
      <alignment horizontal="center" vertical="center"/>
    </xf>
    <xf numFmtId="0" fontId="27" fillId="9" borderId="0" xfId="0" applyFont="1" applyFill="1" applyAlignment="1">
      <alignment horizontal="left" vertical="center"/>
    </xf>
    <xf numFmtId="0" fontId="45" fillId="9" borderId="0" xfId="3" applyFont="1" applyFill="1" applyAlignment="1">
      <alignment vertical="center"/>
    </xf>
    <xf numFmtId="0" fontId="27" fillId="10" borderId="1" xfId="0" applyFont="1" applyFill="1" applyBorder="1" applyAlignment="1">
      <alignment horizontal="center" vertical="center"/>
    </xf>
    <xf numFmtId="0" fontId="40" fillId="18" borderId="0" xfId="0" applyFont="1" applyFill="1" applyBorder="1" applyAlignment="1">
      <alignment vertical="center"/>
    </xf>
    <xf numFmtId="0" fontId="65" fillId="9" borderId="0" xfId="0" applyFont="1" applyFill="1"/>
    <xf numFmtId="0" fontId="66" fillId="9" borderId="0" xfId="0" applyFont="1" applyFill="1" applyBorder="1" applyAlignment="1">
      <alignment horizontal="center" vertical="center"/>
    </xf>
    <xf numFmtId="0" fontId="65" fillId="9" borderId="0" xfId="0" applyFont="1" applyFill="1" applyBorder="1"/>
    <xf numFmtId="0" fontId="30" fillId="9" borderId="0" xfId="0" applyFont="1" applyFill="1"/>
    <xf numFmtId="0" fontId="29" fillId="9" borderId="0" xfId="0" applyFont="1" applyFill="1" applyBorder="1" applyAlignment="1">
      <alignment horizontal="center" vertical="center"/>
    </xf>
    <xf numFmtId="0" fontId="30" fillId="9" borderId="0" xfId="0" applyFont="1" applyFill="1" applyBorder="1"/>
    <xf numFmtId="0" fontId="0" fillId="9" borderId="0" xfId="0" applyFill="1"/>
    <xf numFmtId="0" fontId="30" fillId="9" borderId="0" xfId="0" applyFont="1" applyFill="1" applyAlignment="1">
      <alignment horizontal="right"/>
    </xf>
    <xf numFmtId="0" fontId="37" fillId="9" borderId="0" xfId="0" applyFont="1" applyFill="1" applyBorder="1"/>
    <xf numFmtId="0" fontId="31" fillId="18" borderId="0" xfId="0" applyFont="1" applyFill="1" applyBorder="1" applyAlignment="1">
      <alignment vertical="center" wrapText="1"/>
    </xf>
    <xf numFmtId="0" fontId="38" fillId="18" borderId="0" xfId="0" applyFont="1" applyFill="1" applyBorder="1" applyAlignment="1">
      <alignment vertical="center"/>
    </xf>
    <xf numFmtId="0" fontId="42" fillId="18" borderId="0" xfId="4" applyFont="1" applyFill="1" applyBorder="1" applyAlignment="1">
      <alignment horizontal="center" vertical="center" wrapText="1"/>
    </xf>
    <xf numFmtId="0" fontId="55" fillId="13" borderId="0" xfId="0" applyFont="1" applyFill="1" applyBorder="1" applyAlignment="1">
      <alignment vertical="center"/>
    </xf>
    <xf numFmtId="0" fontId="49" fillId="13" borderId="0" xfId="0" applyFont="1" applyFill="1" applyBorder="1" applyAlignment="1">
      <alignment vertical="center" wrapText="1"/>
    </xf>
    <xf numFmtId="0" fontId="72" fillId="13" borderId="0" xfId="0" applyFont="1" applyFill="1"/>
    <xf numFmtId="0" fontId="27" fillId="11" borderId="1" xfId="0" applyFont="1" applyFill="1" applyBorder="1" applyAlignment="1">
      <alignment vertical="center"/>
    </xf>
    <xf numFmtId="0" fontId="33" fillId="9" borderId="0" xfId="0" applyFont="1" applyFill="1" applyAlignment="1">
      <alignment vertical="center"/>
    </xf>
    <xf numFmtId="0" fontId="27" fillId="19" borderId="1" xfId="0" applyFont="1" applyFill="1" applyBorder="1" applyAlignment="1">
      <alignment horizontal="center" vertical="center"/>
    </xf>
    <xf numFmtId="0" fontId="24" fillId="12" borderId="0" xfId="0" applyFont="1" applyFill="1" applyAlignment="1">
      <alignment vertical="center"/>
    </xf>
    <xf numFmtId="0" fontId="24" fillId="9" borderId="0" xfId="0" applyFont="1" applyFill="1" applyAlignment="1">
      <alignment vertical="center"/>
    </xf>
    <xf numFmtId="0" fontId="61" fillId="9" borderId="0" xfId="0" applyFont="1" applyFill="1" applyAlignment="1">
      <alignment vertical="center"/>
    </xf>
    <xf numFmtId="0" fontId="24" fillId="9" borderId="0" xfId="0" applyFont="1" applyFill="1" applyAlignment="1">
      <alignment horizontal="center" vertical="center"/>
    </xf>
    <xf numFmtId="17" fontId="24" fillId="9" borderId="0" xfId="0" applyNumberFormat="1" applyFont="1" applyFill="1" applyBorder="1" applyAlignment="1">
      <alignment vertical="center"/>
    </xf>
    <xf numFmtId="17" fontId="24" fillId="9" borderId="0" xfId="0" applyNumberFormat="1" applyFont="1" applyFill="1" applyAlignment="1">
      <alignment vertical="center"/>
    </xf>
    <xf numFmtId="0" fontId="65" fillId="0" borderId="7" xfId="0" applyFont="1" applyFill="1" applyBorder="1" applyAlignment="1">
      <alignment vertical="top" wrapText="1"/>
    </xf>
    <xf numFmtId="0" fontId="50" fillId="9" borderId="0" xfId="0" applyFont="1" applyFill="1" applyAlignment="1">
      <alignment horizontal="left" vertical="top"/>
    </xf>
    <xf numFmtId="0" fontId="51" fillId="9" borderId="0" xfId="0" applyFont="1" applyFill="1" applyBorder="1" applyAlignment="1">
      <alignment vertical="top"/>
    </xf>
    <xf numFmtId="0" fontId="50" fillId="9" borderId="0" xfId="0" applyFont="1" applyFill="1" applyAlignment="1">
      <alignment vertical="top"/>
    </xf>
    <xf numFmtId="0" fontId="24" fillId="9" borderId="0" xfId="0" applyFont="1" applyFill="1" applyAlignment="1">
      <alignment vertical="top"/>
    </xf>
    <xf numFmtId="0" fontId="72" fillId="13" borderId="0" xfId="4" applyFont="1" applyFill="1" applyBorder="1" applyAlignment="1">
      <alignment horizontal="center" vertical="center" wrapText="1"/>
    </xf>
    <xf numFmtId="0" fontId="72" fillId="13" borderId="0" xfId="0" applyFont="1" applyFill="1" applyBorder="1" applyAlignment="1">
      <alignment vertical="center"/>
    </xf>
    <xf numFmtId="0" fontId="74" fillId="21" borderId="0" xfId="0" applyFont="1" applyFill="1" applyBorder="1" applyAlignment="1">
      <alignment horizontal="center" vertical="center"/>
    </xf>
    <xf numFmtId="0" fontId="74" fillId="21" borderId="0" xfId="0" applyFont="1" applyFill="1"/>
    <xf numFmtId="0" fontId="49" fillId="21" borderId="0" xfId="0" applyFont="1" applyFill="1" applyAlignment="1">
      <alignment horizontal="center"/>
    </xf>
    <xf numFmtId="0" fontId="71" fillId="9" borderId="0" xfId="0" applyFont="1" applyFill="1" applyAlignment="1">
      <alignment horizontal="left" vertical="center"/>
    </xf>
    <xf numFmtId="0" fontId="65" fillId="0" borderId="1" xfId="0" applyFont="1" applyFill="1" applyBorder="1" applyAlignment="1">
      <alignment vertical="top"/>
    </xf>
    <xf numFmtId="0" fontId="27" fillId="16" borderId="1" xfId="0" applyFont="1" applyFill="1" applyBorder="1" applyAlignment="1">
      <alignment vertical="center"/>
    </xf>
    <xf numFmtId="0" fontId="50" fillId="12" borderId="0" xfId="0" applyFont="1" applyFill="1" applyAlignment="1">
      <alignment horizontal="right" vertical="center"/>
    </xf>
    <xf numFmtId="0" fontId="34" fillId="9" borderId="0" xfId="0" applyFont="1" applyFill="1" applyAlignment="1">
      <alignment horizontal="right" vertical="center"/>
    </xf>
    <xf numFmtId="0" fontId="52" fillId="8" borderId="16" xfId="0" applyFont="1" applyFill="1" applyBorder="1"/>
    <xf numFmtId="0" fontId="26" fillId="11" borderId="1" xfId="0" applyFont="1" applyFill="1" applyBorder="1" applyAlignment="1">
      <alignment horizontal="right" vertical="center"/>
    </xf>
    <xf numFmtId="0" fontId="23" fillId="9" borderId="0" xfId="0" applyFont="1" applyFill="1" applyAlignment="1">
      <alignment vertical="top"/>
    </xf>
    <xf numFmtId="0" fontId="21" fillId="9" borderId="0" xfId="0" applyFont="1" applyFill="1"/>
    <xf numFmtId="0" fontId="21" fillId="9" borderId="0" xfId="0" applyFont="1" applyFill="1" applyAlignment="1">
      <alignment horizontal="right"/>
    </xf>
    <xf numFmtId="0" fontId="76" fillId="9" borderId="0" xfId="0" applyFont="1" applyFill="1"/>
    <xf numFmtId="3" fontId="50" fillId="9" borderId="0" xfId="0" applyNumberFormat="1" applyFont="1" applyFill="1" applyBorder="1" applyAlignment="1">
      <alignment horizontal="center" vertical="center"/>
    </xf>
    <xf numFmtId="0" fontId="76" fillId="9" borderId="0" xfId="0" applyFont="1" applyFill="1" applyAlignment="1">
      <alignment horizontal="right"/>
    </xf>
    <xf numFmtId="0" fontId="69" fillId="9" borderId="0" xfId="0" applyFont="1" applyFill="1" applyAlignment="1">
      <alignment horizontal="right" vertical="center"/>
    </xf>
    <xf numFmtId="0" fontId="21" fillId="9" borderId="0" xfId="0" applyFont="1" applyFill="1" applyAlignment="1">
      <alignment vertical="center"/>
    </xf>
    <xf numFmtId="0" fontId="0" fillId="22" borderId="0" xfId="0" applyFill="1"/>
    <xf numFmtId="2" fontId="25" fillId="9" borderId="0" xfId="0" applyNumberFormat="1" applyFont="1" applyFill="1" applyBorder="1"/>
    <xf numFmtId="3" fontId="21" fillId="9" borderId="0" xfId="0" applyNumberFormat="1" applyFont="1" applyFill="1" applyBorder="1" applyAlignment="1">
      <alignment horizontal="right"/>
    </xf>
    <xf numFmtId="0" fontId="61" fillId="9" borderId="0" xfId="0" applyFont="1" applyFill="1" applyAlignment="1">
      <alignment horizontal="right"/>
    </xf>
    <xf numFmtId="0" fontId="50" fillId="9" borderId="0" xfId="0" applyFont="1" applyFill="1" applyAlignment="1">
      <alignment horizontal="right" vertical="center"/>
    </xf>
    <xf numFmtId="0" fontId="70" fillId="0" borderId="0" xfId="0" applyFont="1" applyFill="1" applyAlignment="1">
      <alignment vertical="center"/>
    </xf>
    <xf numFmtId="0" fontId="21" fillId="9" borderId="0" xfId="0" applyFont="1" applyFill="1" applyAlignment="1">
      <alignment horizontal="left" vertical="center"/>
    </xf>
    <xf numFmtId="0" fontId="21" fillId="9" borderId="0" xfId="0" applyFont="1" applyFill="1" applyAlignment="1">
      <alignment horizontal="center" vertical="center"/>
    </xf>
    <xf numFmtId="0" fontId="76" fillId="9" borderId="0" xfId="0" applyFont="1" applyFill="1" applyAlignment="1">
      <alignment vertical="center"/>
    </xf>
    <xf numFmtId="0" fontId="21" fillId="9" borderId="21" xfId="0" applyFont="1" applyFill="1" applyBorder="1" applyAlignment="1">
      <alignment horizontal="left" vertical="center"/>
    </xf>
    <xf numFmtId="3" fontId="70" fillId="0" borderId="22" xfId="0" applyNumberFormat="1" applyFont="1" applyFill="1" applyBorder="1" applyAlignment="1">
      <alignment horizontal="right"/>
    </xf>
    <xf numFmtId="3" fontId="70" fillId="0" borderId="23" xfId="0" applyNumberFormat="1" applyFont="1" applyFill="1" applyBorder="1" applyAlignment="1">
      <alignment horizontal="right"/>
    </xf>
    <xf numFmtId="3" fontId="70" fillId="0" borderId="24" xfId="0" applyNumberFormat="1" applyFont="1" applyFill="1" applyBorder="1" applyAlignment="1">
      <alignment horizontal="right"/>
    </xf>
    <xf numFmtId="3" fontId="70" fillId="0" borderId="25" xfId="0" applyNumberFormat="1" applyFont="1" applyFill="1" applyBorder="1" applyAlignment="1">
      <alignment horizontal="right"/>
    </xf>
    <xf numFmtId="3" fontId="70" fillId="0" borderId="26" xfId="0" applyNumberFormat="1" applyFont="1" applyFill="1" applyBorder="1" applyAlignment="1">
      <alignment horizontal="right"/>
    </xf>
    <xf numFmtId="3" fontId="70" fillId="0" borderId="27" xfId="0" applyNumberFormat="1" applyFont="1" applyFill="1" applyBorder="1" applyAlignment="1">
      <alignment horizontal="right"/>
    </xf>
    <xf numFmtId="2" fontId="50" fillId="9" borderId="21" xfId="0" applyNumberFormat="1" applyFont="1" applyFill="1" applyBorder="1"/>
    <xf numFmtId="3" fontId="21" fillId="9" borderId="21" xfId="0" applyNumberFormat="1" applyFont="1" applyFill="1" applyBorder="1" applyAlignment="1">
      <alignment horizontal="right"/>
    </xf>
    <xf numFmtId="0" fontId="20" fillId="0" borderId="1" xfId="0" applyFont="1" applyFill="1" applyBorder="1" applyAlignment="1">
      <alignment horizontal="left" vertical="top" wrapText="1"/>
    </xf>
    <xf numFmtId="0" fontId="20" fillId="9" borderId="0" xfId="0" applyFont="1" applyFill="1" applyAlignment="1">
      <alignment vertical="center"/>
    </xf>
    <xf numFmtId="0" fontId="65" fillId="0" borderId="7" xfId="0" applyFont="1" applyFill="1" applyBorder="1" applyAlignment="1">
      <alignment horizontal="left" vertical="top" wrapText="1"/>
    </xf>
    <xf numFmtId="0" fontId="26" fillId="0" borderId="7" xfId="0" applyFont="1" applyFill="1" applyBorder="1" applyAlignment="1">
      <alignment horizontal="center" vertical="top"/>
    </xf>
    <xf numFmtId="0" fontId="26" fillId="0" borderId="8" xfId="0" applyFont="1" applyFill="1" applyBorder="1" applyAlignment="1">
      <alignment horizontal="center" vertical="top"/>
    </xf>
    <xf numFmtId="0" fontId="26" fillId="0" borderId="2" xfId="0" applyFont="1" applyFill="1" applyBorder="1" applyAlignment="1">
      <alignment horizontal="center" vertical="top"/>
    </xf>
    <xf numFmtId="0" fontId="72" fillId="23" borderId="0" xfId="0" applyFont="1" applyFill="1"/>
    <xf numFmtId="0" fontId="54" fillId="23" borderId="0" xfId="0" applyFont="1" applyFill="1" applyBorder="1" applyAlignment="1">
      <alignment vertical="center"/>
    </xf>
    <xf numFmtId="0" fontId="55" fillId="23" borderId="0" xfId="0" applyFont="1" applyFill="1" applyBorder="1" applyAlignment="1">
      <alignment vertical="center"/>
    </xf>
    <xf numFmtId="0" fontId="49" fillId="23" borderId="0" xfId="0" applyFont="1" applyFill="1" applyBorder="1" applyAlignment="1">
      <alignment horizontal="center" vertical="center" wrapText="1"/>
    </xf>
    <xf numFmtId="0" fontId="49" fillId="23" borderId="0" xfId="0" applyFont="1" applyFill="1" applyBorder="1" applyAlignment="1">
      <alignment vertical="center" wrapText="1"/>
    </xf>
    <xf numFmtId="0" fontId="53" fillId="23" borderId="0" xfId="4" applyFont="1" applyFill="1" applyBorder="1" applyAlignment="1">
      <alignment horizontal="center" vertical="center" wrapText="1"/>
    </xf>
    <xf numFmtId="0" fontId="0" fillId="9" borderId="0" xfId="0" applyFont="1" applyFill="1" applyAlignment="1">
      <alignment vertical="center"/>
    </xf>
    <xf numFmtId="0" fontId="19" fillId="9" borderId="0" xfId="0" applyFont="1" applyFill="1" applyAlignment="1">
      <alignment vertical="center"/>
    </xf>
    <xf numFmtId="0" fontId="19" fillId="9" borderId="0" xfId="0" applyFont="1" applyFill="1" applyAlignment="1">
      <alignment horizontal="center" vertical="center"/>
    </xf>
    <xf numFmtId="0" fontId="57" fillId="9" borderId="0" xfId="0" applyFont="1" applyFill="1" applyAlignment="1">
      <alignment vertical="center"/>
    </xf>
    <xf numFmtId="0" fontId="60" fillId="23" borderId="0" xfId="0" applyFont="1" applyFill="1" applyBorder="1"/>
    <xf numFmtId="0" fontId="19" fillId="23" borderId="0" xfId="0" applyFont="1" applyFill="1" applyBorder="1"/>
    <xf numFmtId="0" fontId="51" fillId="9" borderId="0" xfId="0" applyFont="1" applyFill="1" applyBorder="1"/>
    <xf numFmtId="0" fontId="19" fillId="9" borderId="0" xfId="0" applyFont="1" applyFill="1" applyBorder="1"/>
    <xf numFmtId="0" fontId="19" fillId="9" borderId="0" xfId="0" applyFont="1" applyFill="1"/>
    <xf numFmtId="0" fontId="77" fillId="23" borderId="2" xfId="0" applyFont="1" applyFill="1" applyBorder="1" applyAlignment="1">
      <alignment horizontal="center" vertical="center"/>
    </xf>
    <xf numFmtId="0" fontId="77" fillId="23" borderId="2" xfId="0" applyFont="1" applyFill="1" applyBorder="1" applyAlignment="1">
      <alignment horizontal="left" vertical="center"/>
    </xf>
    <xf numFmtId="0" fontId="77" fillId="23" borderId="10" xfId="0" applyFont="1" applyFill="1" applyBorder="1" applyAlignment="1">
      <alignment horizontal="center" vertical="center"/>
    </xf>
    <xf numFmtId="0" fontId="49" fillId="23" borderId="2" xfId="0" applyFont="1" applyFill="1" applyBorder="1" applyAlignment="1">
      <alignment horizontal="center" vertical="center" wrapText="1"/>
    </xf>
    <xf numFmtId="0" fontId="77" fillId="9" borderId="0" xfId="0" applyFont="1" applyFill="1" applyBorder="1" applyAlignment="1">
      <alignment horizontal="center" vertical="center" wrapText="1"/>
    </xf>
    <xf numFmtId="0" fontId="19" fillId="0" borderId="7" xfId="0" applyFont="1" applyFill="1" applyBorder="1" applyAlignment="1">
      <alignment horizontal="center" vertical="top"/>
    </xf>
    <xf numFmtId="0" fontId="19" fillId="0" borderId="7" xfId="0" applyFont="1" applyFill="1" applyBorder="1" applyAlignment="1">
      <alignment vertical="center"/>
    </xf>
    <xf numFmtId="0" fontId="19" fillId="0" borderId="15" xfId="0" applyFont="1" applyFill="1" applyBorder="1" applyAlignment="1">
      <alignment horizontal="center" vertical="center"/>
    </xf>
    <xf numFmtId="0" fontId="19" fillId="0" borderId="1" xfId="0" applyFont="1" applyFill="1" applyBorder="1"/>
    <xf numFmtId="0" fontId="19" fillId="0" borderId="8" xfId="0" applyFont="1" applyFill="1" applyBorder="1" applyAlignment="1">
      <alignment horizontal="center" vertical="top"/>
    </xf>
    <xf numFmtId="0" fontId="19" fillId="0" borderId="2" xfId="0" applyFont="1" applyFill="1" applyBorder="1" applyAlignment="1">
      <alignment horizontal="center" vertical="top"/>
    </xf>
    <xf numFmtId="0" fontId="19" fillId="0" borderId="7" xfId="0" applyFont="1" applyFill="1" applyBorder="1" applyAlignment="1">
      <alignment vertical="center" wrapText="1"/>
    </xf>
    <xf numFmtId="0" fontId="19" fillId="0" borderId="1" xfId="0" applyFont="1" applyFill="1" applyBorder="1" applyAlignment="1">
      <alignment wrapText="1"/>
    </xf>
    <xf numFmtId="0" fontId="19" fillId="0" borderId="1" xfId="0" applyFont="1" applyFill="1" applyBorder="1" applyAlignment="1">
      <alignment horizontal="center" vertical="top"/>
    </xf>
    <xf numFmtId="0" fontId="19" fillId="0" borderId="19" xfId="0" applyFont="1" applyFill="1" applyBorder="1" applyAlignment="1">
      <alignment horizontal="center" vertical="center"/>
    </xf>
    <xf numFmtId="0" fontId="19" fillId="0" borderId="3" xfId="0" applyFont="1" applyFill="1" applyBorder="1" applyAlignment="1">
      <alignment horizontal="center"/>
    </xf>
    <xf numFmtId="0" fontId="19" fillId="0" borderId="19" xfId="0" applyFont="1" applyFill="1" applyBorder="1" applyAlignment="1">
      <alignment horizontal="center" vertical="top"/>
    </xf>
    <xf numFmtId="0" fontId="19" fillId="0" borderId="10" xfId="0" applyFont="1" applyFill="1" applyBorder="1" applyAlignment="1">
      <alignment horizontal="center" vertical="top"/>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0" xfId="0" applyFont="1" applyFill="1" applyBorder="1" applyAlignment="1">
      <alignment horizontal="center" vertical="top"/>
    </xf>
    <xf numFmtId="0" fontId="19" fillId="0" borderId="33" xfId="0" applyFont="1" applyFill="1" applyBorder="1" applyAlignment="1">
      <alignment horizontal="center" vertical="top"/>
    </xf>
    <xf numFmtId="0" fontId="19" fillId="0" borderId="13" xfId="0" applyFont="1" applyFill="1" applyBorder="1" applyAlignment="1">
      <alignment horizontal="center" vertical="top"/>
    </xf>
    <xf numFmtId="0" fontId="19" fillId="0" borderId="1" xfId="0" applyFont="1" applyFill="1" applyBorder="1" applyAlignment="1">
      <alignment horizontal="left" vertical="top" wrapText="1"/>
    </xf>
    <xf numFmtId="0" fontId="19" fillId="0" borderId="34" xfId="0" applyFont="1" applyFill="1" applyBorder="1" applyAlignment="1">
      <alignment horizontal="center" vertical="top"/>
    </xf>
    <xf numFmtId="0" fontId="19" fillId="0" borderId="28" xfId="0" applyFont="1" applyFill="1" applyBorder="1" applyAlignment="1">
      <alignment horizontal="center" vertical="top"/>
    </xf>
    <xf numFmtId="0" fontId="19" fillId="9" borderId="0" xfId="0" applyFont="1" applyFill="1" applyAlignment="1">
      <alignment horizontal="right"/>
    </xf>
    <xf numFmtId="0" fontId="19" fillId="0" borderId="15" xfId="0" applyFont="1" applyFill="1" applyBorder="1" applyAlignment="1">
      <alignment vertical="top" wrapText="1"/>
    </xf>
    <xf numFmtId="0" fontId="19" fillId="0" borderId="19" xfId="0" applyFont="1" applyFill="1" applyBorder="1" applyAlignment="1">
      <alignment vertical="top" wrapText="1"/>
    </xf>
    <xf numFmtId="0" fontId="19" fillId="0" borderId="10"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19" fillId="0" borderId="2" xfId="0" applyFont="1" applyFill="1" applyBorder="1" applyAlignment="1">
      <alignment vertical="top" wrapText="1"/>
    </xf>
    <xf numFmtId="3" fontId="19" fillId="0" borderId="1" xfId="0" applyNumberFormat="1" applyFont="1" applyFill="1" applyBorder="1" applyAlignment="1">
      <alignment horizontal="right" vertical="center"/>
    </xf>
    <xf numFmtId="3" fontId="19" fillId="11" borderId="1" xfId="0" applyNumberFormat="1" applyFont="1" applyFill="1" applyBorder="1" applyAlignment="1">
      <alignment horizontal="right" vertical="center"/>
    </xf>
    <xf numFmtId="3" fontId="52" fillId="16" borderId="1" xfId="4" applyNumberFormat="1" applyFont="1" applyFill="1" applyBorder="1" applyAlignment="1">
      <alignment horizontal="right" vertical="center" wrapText="1"/>
    </xf>
    <xf numFmtId="0" fontId="65" fillId="0" borderId="7" xfId="0" applyFont="1" applyFill="1" applyBorder="1" applyAlignment="1">
      <alignment vertical="center" wrapText="1"/>
    </xf>
    <xf numFmtId="0" fontId="65" fillId="0" borderId="28" xfId="0" applyFont="1" applyFill="1" applyBorder="1" applyAlignment="1">
      <alignment vertical="center" wrapText="1"/>
    </xf>
    <xf numFmtId="0" fontId="65" fillId="0" borderId="7"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65" fillId="0" borderId="3" xfId="0" applyFont="1" applyFill="1" applyBorder="1" applyAlignment="1">
      <alignment horizontal="center" vertical="center" wrapText="1"/>
    </xf>
    <xf numFmtId="0" fontId="65" fillId="0" borderId="29" xfId="0" applyFont="1" applyFill="1" applyBorder="1" applyAlignment="1">
      <alignment vertical="center" wrapText="1"/>
    </xf>
    <xf numFmtId="0" fontId="52" fillId="0" borderId="15" xfId="0" applyFont="1" applyFill="1" applyBorder="1" applyAlignment="1">
      <alignment horizontal="center" vertical="center" wrapText="1"/>
    </xf>
    <xf numFmtId="0" fontId="65" fillId="0" borderId="31" xfId="0" applyFont="1" applyFill="1" applyBorder="1" applyAlignment="1">
      <alignment vertical="center" wrapText="1"/>
    </xf>
    <xf numFmtId="0" fontId="52" fillId="0" borderId="32" xfId="0" applyFont="1" applyFill="1" applyBorder="1" applyAlignment="1">
      <alignment horizontal="center" vertical="center" wrapText="1"/>
    </xf>
    <xf numFmtId="0" fontId="65" fillId="0" borderId="31" xfId="0" applyFont="1" applyFill="1" applyBorder="1" applyAlignment="1">
      <alignment horizontal="left" vertical="top" wrapText="1"/>
    </xf>
    <xf numFmtId="0" fontId="65" fillId="0" borderId="15" xfId="0" applyFont="1" applyFill="1" applyBorder="1" applyAlignment="1">
      <alignment horizontal="center" vertical="center" wrapText="1"/>
    </xf>
    <xf numFmtId="0" fontId="65" fillId="0" borderId="35" xfId="0" applyFont="1" applyFill="1" applyBorder="1" applyAlignment="1">
      <alignment horizontal="left" vertical="top" wrapText="1"/>
    </xf>
    <xf numFmtId="0" fontId="65" fillId="0" borderId="36" xfId="0" applyFont="1" applyFill="1" applyBorder="1" applyAlignment="1">
      <alignment horizontal="left" vertical="top" wrapText="1"/>
    </xf>
    <xf numFmtId="0" fontId="65" fillId="0" borderId="1" xfId="0" applyFont="1" applyFill="1" applyBorder="1" applyAlignment="1">
      <alignment vertical="center" wrapText="1"/>
    </xf>
    <xf numFmtId="0" fontId="52" fillId="0" borderId="3" xfId="0" applyFont="1" applyFill="1" applyBorder="1" applyAlignment="1">
      <alignment horizontal="center" vertical="center" wrapText="1"/>
    </xf>
    <xf numFmtId="0" fontId="49" fillId="9" borderId="0" xfId="0" applyFont="1" applyFill="1" applyBorder="1" applyAlignment="1">
      <alignment horizontal="center" vertical="center"/>
    </xf>
    <xf numFmtId="0" fontId="19" fillId="0" borderId="1" xfId="0" applyFont="1" applyFill="1" applyBorder="1" applyAlignment="1">
      <alignment vertical="top"/>
    </xf>
    <xf numFmtId="3" fontId="19" fillId="16" borderId="1" xfId="0" applyNumberFormat="1" applyFont="1" applyFill="1" applyBorder="1" applyAlignment="1">
      <alignment horizontal="right" vertical="top"/>
    </xf>
    <xf numFmtId="3" fontId="19" fillId="0" borderId="1" xfId="0" applyNumberFormat="1" applyFont="1" applyFill="1" applyBorder="1" applyAlignment="1">
      <alignment horizontal="right" vertical="top"/>
    </xf>
    <xf numFmtId="3" fontId="19" fillId="11" borderId="1" xfId="0" applyNumberFormat="1" applyFont="1" applyFill="1" applyBorder="1" applyAlignment="1">
      <alignment horizontal="right" vertical="top"/>
    </xf>
    <xf numFmtId="3" fontId="21" fillId="9" borderId="38" xfId="0" applyNumberFormat="1" applyFont="1" applyFill="1" applyBorder="1" applyAlignment="1">
      <alignment horizontal="right"/>
    </xf>
    <xf numFmtId="3" fontId="21" fillId="9" borderId="37" xfId="0" applyNumberFormat="1" applyFont="1" applyFill="1" applyBorder="1" applyAlignment="1">
      <alignment horizontal="right"/>
    </xf>
    <xf numFmtId="0" fontId="72" fillId="24" borderId="0" xfId="0" applyFont="1" applyFill="1" applyBorder="1" applyAlignment="1">
      <alignment vertical="center"/>
    </xf>
    <xf numFmtId="0" fontId="54" fillId="24" borderId="0" xfId="0" applyFont="1" applyFill="1" applyBorder="1" applyAlignment="1">
      <alignment vertical="center"/>
    </xf>
    <xf numFmtId="0" fontId="55" fillId="24" borderId="0" xfId="0" applyFont="1" applyFill="1" applyBorder="1" applyAlignment="1">
      <alignment vertical="center"/>
    </xf>
    <xf numFmtId="0" fontId="49" fillId="24" borderId="0" xfId="0" applyFont="1" applyFill="1" applyBorder="1" applyAlignment="1">
      <alignment horizontal="center" vertical="center" wrapText="1"/>
    </xf>
    <xf numFmtId="0" fontId="49" fillId="24" borderId="0" xfId="0" applyFont="1" applyFill="1" applyBorder="1" applyAlignment="1">
      <alignment vertical="center" wrapText="1"/>
    </xf>
    <xf numFmtId="0" fontId="53" fillId="24" borderId="0" xfId="4" applyFont="1" applyFill="1" applyBorder="1" applyAlignment="1">
      <alignment horizontal="center" vertical="center" wrapText="1"/>
    </xf>
    <xf numFmtId="0" fontId="18" fillId="12" borderId="0" xfId="0" applyFont="1" applyFill="1" applyAlignment="1">
      <alignment vertical="center"/>
    </xf>
    <xf numFmtId="0" fontId="18" fillId="12" borderId="0" xfId="0" applyFont="1" applyFill="1" applyAlignment="1">
      <alignment horizontal="center" vertical="center"/>
    </xf>
    <xf numFmtId="0" fontId="57" fillId="12" borderId="0" xfId="0" applyFont="1" applyFill="1" applyAlignment="1">
      <alignment vertical="center"/>
    </xf>
    <xf numFmtId="0" fontId="49" fillId="24" borderId="2" xfId="0" applyFont="1" applyFill="1" applyBorder="1" applyAlignment="1">
      <alignment horizontal="center" vertical="center"/>
    </xf>
    <xf numFmtId="0" fontId="49" fillId="24" borderId="2" xfId="0" applyFont="1" applyFill="1" applyBorder="1" applyAlignment="1">
      <alignment horizontal="center" vertical="center" wrapText="1"/>
    </xf>
    <xf numFmtId="0" fontId="18" fillId="12" borderId="0" xfId="0" applyFont="1" applyFill="1" applyBorder="1" applyAlignment="1">
      <alignment vertical="center"/>
    </xf>
    <xf numFmtId="0" fontId="18" fillId="0" borderId="7" xfId="0" applyFont="1" applyFill="1" applyBorder="1" applyAlignment="1">
      <alignment horizontal="center" vertical="top"/>
    </xf>
    <xf numFmtId="0" fontId="18" fillId="0" borderId="1" xfId="0" applyFont="1" applyFill="1" applyBorder="1" applyAlignment="1">
      <alignment horizontal="left" vertical="top"/>
    </xf>
    <xf numFmtId="0" fontId="18" fillId="0" borderId="3" xfId="0" applyFont="1" applyFill="1" applyBorder="1" applyAlignment="1">
      <alignment horizontal="center" vertical="center"/>
    </xf>
    <xf numFmtId="0" fontId="78" fillId="12" borderId="0" xfId="0" applyFont="1" applyFill="1" applyBorder="1" applyAlignment="1">
      <alignment horizontal="center" vertical="center"/>
    </xf>
    <xf numFmtId="0" fontId="18" fillId="0" borderId="1" xfId="0" applyFont="1" applyFill="1" applyBorder="1" applyAlignment="1">
      <alignment horizontal="center" vertical="center"/>
    </xf>
    <xf numFmtId="0" fontId="52" fillId="0" borderId="1" xfId="4" applyFont="1" applyFill="1" applyBorder="1" applyAlignment="1">
      <alignment horizontal="center" vertical="center" wrapText="1"/>
    </xf>
    <xf numFmtId="0" fontId="52" fillId="0" borderId="1" xfId="4" applyFont="1" applyFill="1" applyBorder="1" applyAlignment="1">
      <alignment horizontal="left" vertical="top"/>
    </xf>
    <xf numFmtId="0" fontId="18" fillId="0" borderId="8" xfId="0" applyFont="1" applyFill="1" applyBorder="1" applyAlignment="1">
      <alignment horizontal="center" vertical="top"/>
    </xf>
    <xf numFmtId="0" fontId="18" fillId="0" borderId="2" xfId="0" applyFont="1" applyFill="1" applyBorder="1" applyAlignment="1">
      <alignment horizontal="center" vertical="top"/>
    </xf>
    <xf numFmtId="0" fontId="18" fillId="0" borderId="1" xfId="0" applyFont="1" applyFill="1" applyBorder="1" applyAlignment="1">
      <alignment horizontal="center" vertical="top"/>
    </xf>
    <xf numFmtId="0" fontId="18" fillId="0" borderId="1" xfId="0" applyFont="1" applyFill="1" applyBorder="1" applyAlignment="1">
      <alignment horizontal="left" vertical="top" wrapText="1"/>
    </xf>
    <xf numFmtId="0" fontId="18" fillId="0" borderId="15" xfId="0" applyFont="1" applyFill="1" applyBorder="1" applyAlignment="1">
      <alignment horizontal="center" vertical="center"/>
    </xf>
    <xf numFmtId="0" fontId="18" fillId="0" borderId="7" xfId="0" applyFont="1" applyFill="1" applyBorder="1" applyAlignment="1">
      <alignment horizontal="left" vertical="top"/>
    </xf>
    <xf numFmtId="0" fontId="65" fillId="0" borderId="28" xfId="0" applyFont="1" applyFill="1" applyBorder="1" applyAlignment="1">
      <alignment horizontal="left" vertical="top" wrapText="1"/>
    </xf>
    <xf numFmtId="0" fontId="52" fillId="0" borderId="1" xfId="4" applyFont="1" applyFill="1" applyBorder="1" applyAlignment="1">
      <alignment horizontal="left" vertical="top" wrapText="1"/>
    </xf>
    <xf numFmtId="0" fontId="18" fillId="0" borderId="8" xfId="0" applyFont="1" applyFill="1" applyBorder="1" applyAlignment="1">
      <alignment vertical="top"/>
    </xf>
    <xf numFmtId="0" fontId="18" fillId="0" borderId="9" xfId="0" applyFont="1" applyFill="1" applyBorder="1" applyAlignment="1">
      <alignment horizontal="center" vertical="top"/>
    </xf>
    <xf numFmtId="0" fontId="18" fillId="0" borderId="13" xfId="0" applyFont="1" applyFill="1" applyBorder="1" applyAlignment="1">
      <alignment horizontal="center" vertical="top"/>
    </xf>
    <xf numFmtId="0" fontId="18" fillId="0" borderId="13" xfId="0" applyFont="1" applyFill="1" applyBorder="1" applyAlignment="1">
      <alignment vertical="top"/>
    </xf>
    <xf numFmtId="0" fontId="78" fillId="9" borderId="0" xfId="0" applyFont="1" applyFill="1" applyBorder="1" applyAlignment="1">
      <alignment horizontal="center" vertical="center"/>
    </xf>
    <xf numFmtId="0" fontId="52" fillId="17" borderId="1" xfId="4" applyFont="1" applyFill="1" applyBorder="1" applyAlignment="1">
      <alignment horizontal="center" vertical="center" wrapText="1"/>
    </xf>
    <xf numFmtId="0" fontId="52" fillId="17" borderId="1" xfId="4" applyFont="1" applyFill="1" applyBorder="1" applyAlignment="1">
      <alignment horizontal="left" vertical="top" wrapText="1"/>
    </xf>
    <xf numFmtId="0" fontId="18" fillId="9" borderId="0" xfId="0" applyFont="1" applyFill="1" applyAlignment="1">
      <alignment vertical="center"/>
    </xf>
    <xf numFmtId="0" fontId="18" fillId="0" borderId="2" xfId="0" applyFont="1" applyFill="1" applyBorder="1" applyAlignment="1">
      <alignment vertical="top"/>
    </xf>
    <xf numFmtId="0" fontId="52" fillId="12" borderId="17" xfId="0" applyFont="1" applyFill="1" applyBorder="1" applyAlignment="1">
      <alignment horizontal="center" vertical="center" wrapText="1"/>
    </xf>
    <xf numFmtId="0" fontId="78" fillId="12" borderId="17" xfId="0" applyFont="1" applyFill="1" applyBorder="1" applyAlignment="1">
      <alignment horizontal="center" vertical="center"/>
    </xf>
    <xf numFmtId="0" fontId="50" fillId="12" borderId="0" xfId="0" applyFont="1" applyFill="1" applyBorder="1" applyAlignment="1">
      <alignment vertical="center"/>
    </xf>
    <xf numFmtId="0" fontId="18" fillId="12" borderId="0" xfId="0" applyFont="1" applyFill="1" applyAlignment="1">
      <alignment horizontal="right" vertical="center"/>
    </xf>
    <xf numFmtId="0" fontId="18" fillId="25" borderId="1" xfId="0" applyFont="1" applyFill="1" applyBorder="1" applyAlignment="1">
      <alignment horizontal="right" vertical="center"/>
    </xf>
    <xf numFmtId="3" fontId="18" fillId="0" borderId="1" xfId="0" applyNumberFormat="1" applyFont="1" applyFill="1" applyBorder="1" applyAlignment="1">
      <alignment horizontal="right" vertical="center"/>
    </xf>
    <xf numFmtId="3" fontId="18" fillId="16" borderId="1" xfId="0" applyNumberFormat="1" applyFont="1" applyFill="1" applyBorder="1" applyAlignment="1">
      <alignment horizontal="right" vertical="center"/>
    </xf>
    <xf numFmtId="3" fontId="18" fillId="11" borderId="1" xfId="0" applyNumberFormat="1" applyFont="1" applyFill="1" applyBorder="1" applyAlignment="1">
      <alignment horizontal="right" vertical="center"/>
    </xf>
    <xf numFmtId="3" fontId="18" fillId="12" borderId="0" xfId="0" applyNumberFormat="1" applyFont="1" applyFill="1" applyAlignment="1">
      <alignment vertical="center"/>
    </xf>
    <xf numFmtId="0" fontId="18" fillId="9" borderId="0" xfId="0" applyFont="1" applyFill="1" applyBorder="1"/>
    <xf numFmtId="0" fontId="50" fillId="9" borderId="0" xfId="0" applyFont="1" applyFill="1" applyAlignment="1">
      <alignment horizontal="right"/>
    </xf>
    <xf numFmtId="0" fontId="18" fillId="9" borderId="0" xfId="0" applyFont="1" applyFill="1"/>
    <xf numFmtId="0" fontId="18" fillId="9" borderId="0" xfId="0" applyFont="1" applyFill="1" applyAlignment="1">
      <alignment horizontal="right"/>
    </xf>
    <xf numFmtId="0" fontId="72" fillId="26" borderId="0" xfId="0" applyFont="1" applyFill="1"/>
    <xf numFmtId="0" fontId="54" fillId="26" borderId="0" xfId="0" applyFont="1" applyFill="1" applyBorder="1" applyAlignment="1">
      <alignment vertical="center"/>
    </xf>
    <xf numFmtId="0" fontId="55" fillId="26" borderId="0" xfId="0" applyFont="1" applyFill="1" applyBorder="1" applyAlignment="1">
      <alignment vertical="center"/>
    </xf>
    <xf numFmtId="0" fontId="49" fillId="26" borderId="0" xfId="0" applyFont="1" applyFill="1" applyBorder="1" applyAlignment="1">
      <alignment horizontal="center" vertical="center" wrapText="1"/>
    </xf>
    <xf numFmtId="0" fontId="49" fillId="26" borderId="0" xfId="0" applyFont="1" applyFill="1" applyBorder="1" applyAlignment="1">
      <alignment vertical="center" wrapText="1"/>
    </xf>
    <xf numFmtId="0" fontId="53" fillId="26" borderId="0" xfId="4" applyFont="1" applyFill="1" applyBorder="1" applyAlignment="1">
      <alignment horizontal="center" vertical="center" wrapText="1"/>
    </xf>
    <xf numFmtId="0" fontId="18" fillId="9" borderId="0" xfId="0" applyFont="1" applyFill="1" applyBorder="1" applyAlignment="1">
      <alignment vertical="center"/>
    </xf>
    <xf numFmtId="0" fontId="18" fillId="9" borderId="0" xfId="0" applyFont="1" applyFill="1" applyAlignment="1">
      <alignment horizontal="center" vertical="center"/>
    </xf>
    <xf numFmtId="0" fontId="60" fillId="26" borderId="0" xfId="0" applyFont="1" applyFill="1" applyBorder="1"/>
    <xf numFmtId="0" fontId="18" fillId="26" borderId="0" xfId="0" applyFont="1" applyFill="1" applyBorder="1"/>
    <xf numFmtId="0" fontId="18" fillId="9" borderId="19" xfId="0" applyFont="1" applyFill="1" applyBorder="1"/>
    <xf numFmtId="0" fontId="18" fillId="9" borderId="8" xfId="0" applyFont="1" applyFill="1" applyBorder="1"/>
    <xf numFmtId="0" fontId="77" fillId="26" borderId="2" xfId="0" applyFont="1" applyFill="1" applyBorder="1" applyAlignment="1">
      <alignment horizontal="center" vertical="center"/>
    </xf>
    <xf numFmtId="0" fontId="77" fillId="26" borderId="2" xfId="0" applyFont="1" applyFill="1" applyBorder="1" applyAlignment="1">
      <alignment horizontal="left" vertical="center"/>
    </xf>
    <xf numFmtId="0" fontId="77" fillId="26" borderId="10" xfId="0" applyFont="1" applyFill="1" applyBorder="1" applyAlignment="1">
      <alignment horizontal="center" vertical="center"/>
    </xf>
    <xf numFmtId="0" fontId="49" fillId="26" borderId="2" xfId="0" applyFont="1" applyFill="1" applyBorder="1" applyAlignment="1">
      <alignment horizontal="center" vertical="center" wrapText="1"/>
    </xf>
    <xf numFmtId="0" fontId="77" fillId="9" borderId="19" xfId="0" applyFont="1" applyFill="1" applyBorder="1" applyAlignment="1">
      <alignment horizontal="center" vertical="center" wrapText="1"/>
    </xf>
    <xf numFmtId="0" fontId="77" fillId="9" borderId="8" xfId="0" applyFont="1" applyFill="1" applyBorder="1" applyAlignment="1">
      <alignment horizontal="center" vertical="center" wrapText="1"/>
    </xf>
    <xf numFmtId="0" fontId="79" fillId="0" borderId="1" xfId="0" applyFont="1" applyFill="1" applyBorder="1" applyAlignment="1">
      <alignment horizontal="left" vertical="top" wrapText="1"/>
    </xf>
    <xf numFmtId="0" fontId="79" fillId="0" borderId="1" xfId="0" applyFont="1" applyFill="1" applyBorder="1" applyAlignment="1">
      <alignment horizontal="center" vertical="center" wrapText="1"/>
    </xf>
    <xf numFmtId="0" fontId="62" fillId="9" borderId="19" xfId="0" applyFont="1" applyFill="1" applyBorder="1" applyAlignment="1">
      <alignment horizontal="center" vertical="center"/>
    </xf>
    <xf numFmtId="0" fontId="18" fillId="0" borderId="17" xfId="0" applyFont="1" applyFill="1" applyBorder="1" applyAlignment="1">
      <alignment horizontal="center" vertical="top"/>
    </xf>
    <xf numFmtId="0" fontId="62" fillId="9" borderId="8" xfId="0" applyFont="1" applyFill="1" applyBorder="1" applyAlignment="1">
      <alignment horizontal="center" vertical="center"/>
    </xf>
    <xf numFmtId="0" fontId="80" fillId="0" borderId="1" xfId="4" applyFont="1" applyFill="1" applyBorder="1" applyAlignment="1">
      <alignment horizontal="center" vertical="top" wrapText="1"/>
    </xf>
    <xf numFmtId="0" fontId="35" fillId="0" borderId="1" xfId="4" applyFont="1" applyFill="1" applyBorder="1" applyAlignment="1">
      <alignment vertical="top"/>
    </xf>
    <xf numFmtId="0" fontId="18" fillId="0" borderId="0" xfId="0" applyFont="1" applyFill="1" applyBorder="1" applyAlignment="1">
      <alignment horizontal="center" vertical="top"/>
    </xf>
    <xf numFmtId="0" fontId="18" fillId="0" borderId="4" xfId="0" applyFont="1" applyFill="1" applyBorder="1" applyAlignment="1">
      <alignment horizontal="center" vertical="top"/>
    </xf>
    <xf numFmtId="0" fontId="18" fillId="0" borderId="6" xfId="0" applyFont="1" applyFill="1" applyBorder="1" applyAlignment="1">
      <alignment horizontal="center" vertical="top"/>
    </xf>
    <xf numFmtId="0" fontId="18" fillId="0" borderId="16" xfId="0" applyFont="1" applyFill="1" applyBorder="1" applyAlignment="1">
      <alignment horizontal="center" vertical="top"/>
    </xf>
    <xf numFmtId="0" fontId="18" fillId="0" borderId="18" xfId="0" applyFont="1" applyFill="1" applyBorder="1" applyAlignment="1">
      <alignment horizontal="center" vertical="top"/>
    </xf>
    <xf numFmtId="0" fontId="35" fillId="0" borderId="1" xfId="4" applyFont="1" applyFill="1" applyBorder="1" applyAlignment="1">
      <alignment vertical="top" wrapText="1"/>
    </xf>
    <xf numFmtId="0" fontId="18" fillId="0" borderId="11" xfId="0" applyFont="1" applyFill="1" applyBorder="1" applyAlignment="1">
      <alignment horizontal="center" vertical="top"/>
    </xf>
    <xf numFmtId="0" fontId="18" fillId="0" borderId="15" xfId="0" applyFont="1" applyFill="1" applyBorder="1" applyAlignment="1">
      <alignment vertical="top" wrapText="1"/>
    </xf>
    <xf numFmtId="0" fontId="18" fillId="0" borderId="39" xfId="0" applyFont="1" applyFill="1" applyBorder="1" applyAlignment="1">
      <alignment horizontal="center" vertical="top"/>
    </xf>
    <xf numFmtId="0" fontId="18" fillId="0" borderId="19" xfId="0" applyFont="1" applyFill="1" applyBorder="1" applyAlignment="1">
      <alignment vertical="top" wrapText="1"/>
    </xf>
    <xf numFmtId="0" fontId="18" fillId="0" borderId="10" xfId="0" applyFont="1" applyFill="1" applyBorder="1" applyAlignment="1">
      <alignment vertical="top" wrapText="1"/>
    </xf>
    <xf numFmtId="0" fontId="79" fillId="0" borderId="7" xfId="0" applyFont="1" applyFill="1" applyBorder="1" applyAlignment="1">
      <alignment horizontal="center" vertical="center" wrapText="1"/>
    </xf>
    <xf numFmtId="0" fontId="18" fillId="0" borderId="1" xfId="0" applyFont="1" applyFill="1" applyBorder="1"/>
    <xf numFmtId="0" fontId="18" fillId="0" borderId="7" xfId="0" applyFont="1" applyFill="1" applyBorder="1" applyAlignment="1">
      <alignment horizontal="center" vertical="center"/>
    </xf>
    <xf numFmtId="0" fontId="18" fillId="0" borderId="7" xfId="0" applyFont="1" applyFill="1" applyBorder="1" applyAlignment="1">
      <alignment horizontal="left" vertical="top" wrapText="1"/>
    </xf>
    <xf numFmtId="0" fontId="18" fillId="9" borderId="17" xfId="0" applyFont="1" applyFill="1" applyBorder="1"/>
    <xf numFmtId="3" fontId="52" fillId="16" borderId="1" xfId="0" applyNumberFormat="1" applyFont="1" applyFill="1" applyBorder="1" applyAlignment="1">
      <alignment horizontal="right" vertical="center"/>
    </xf>
    <xf numFmtId="3" fontId="18" fillId="0" borderId="7" xfId="0" applyNumberFormat="1" applyFont="1" applyFill="1" applyBorder="1" applyAlignment="1">
      <alignment horizontal="right" vertical="center"/>
    </xf>
    <xf numFmtId="3" fontId="35" fillId="0" borderId="1" xfId="4" applyNumberFormat="1" applyFont="1" applyFill="1" applyBorder="1" applyAlignment="1" applyProtection="1">
      <alignment horizontal="right" vertical="center" wrapText="1"/>
      <protection locked="0"/>
    </xf>
    <xf numFmtId="3" fontId="35" fillId="0" borderId="1" xfId="4" applyNumberFormat="1" applyFont="1" applyFill="1" applyBorder="1" applyAlignment="1">
      <alignment horizontal="right" vertical="center" wrapText="1"/>
    </xf>
    <xf numFmtId="3" fontId="18" fillId="11" borderId="1" xfId="0" applyNumberFormat="1" applyFont="1" applyFill="1" applyBorder="1" applyAlignment="1">
      <alignment horizontal="right"/>
    </xf>
    <xf numFmtId="0" fontId="18" fillId="0" borderId="1" xfId="0" applyFont="1" applyFill="1" applyBorder="1" applyAlignment="1">
      <alignment vertical="top"/>
    </xf>
    <xf numFmtId="3" fontId="21" fillId="9" borderId="40" xfId="0" applyNumberFormat="1" applyFont="1" applyFill="1" applyBorder="1" applyAlignment="1">
      <alignment horizontal="right"/>
    </xf>
    <xf numFmtId="3" fontId="26" fillId="17" borderId="1" xfId="0" applyNumberFormat="1" applyFont="1" applyFill="1" applyBorder="1" applyAlignment="1">
      <alignment horizontal="right" vertical="center"/>
    </xf>
    <xf numFmtId="0" fontId="18" fillId="0" borderId="2" xfId="0" applyFont="1" applyFill="1" applyBorder="1" applyAlignment="1">
      <alignment horizontal="left" vertical="top" wrapText="1"/>
    </xf>
    <xf numFmtId="0" fontId="18" fillId="0" borderId="2" xfId="0" applyFont="1" applyFill="1" applyBorder="1" applyAlignment="1">
      <alignment horizontal="center" vertical="center"/>
    </xf>
    <xf numFmtId="0" fontId="18" fillId="0" borderId="8" xfId="0" applyFont="1" applyFill="1" applyBorder="1" applyAlignment="1">
      <alignment horizontal="left" vertical="top" wrapText="1"/>
    </xf>
    <xf numFmtId="0" fontId="18" fillId="0" borderId="8" xfId="0" applyFont="1" applyFill="1" applyBorder="1" applyAlignment="1">
      <alignment horizontal="center" vertical="center"/>
    </xf>
    <xf numFmtId="0" fontId="80" fillId="0" borderId="1" xfId="4" applyFont="1" applyFill="1" applyBorder="1" applyAlignment="1">
      <alignment horizontal="center" vertical="center" wrapText="1"/>
    </xf>
    <xf numFmtId="0" fontId="18" fillId="0" borderId="14"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2" xfId="0" applyFont="1" applyFill="1" applyBorder="1" applyAlignment="1">
      <alignment horizontal="center" vertical="center"/>
    </xf>
    <xf numFmtId="0" fontId="61" fillId="27" borderId="2" xfId="0" applyFont="1" applyFill="1" applyBorder="1" applyAlignment="1">
      <alignment horizontal="center" vertical="center" wrapText="1"/>
    </xf>
    <xf numFmtId="0" fontId="33" fillId="27" borderId="10" xfId="0" applyFont="1" applyFill="1" applyBorder="1" applyAlignment="1">
      <alignment horizontal="center" vertical="center"/>
    </xf>
    <xf numFmtId="0" fontId="33" fillId="27" borderId="2" xfId="0" applyFont="1" applyFill="1" applyBorder="1" applyAlignment="1">
      <alignment horizontal="left" vertical="center"/>
    </xf>
    <xf numFmtId="0" fontId="33" fillId="27" borderId="2" xfId="0" applyFont="1" applyFill="1" applyBorder="1" applyAlignment="1">
      <alignment horizontal="center" vertical="center"/>
    </xf>
    <xf numFmtId="0" fontId="52" fillId="27" borderId="17" xfId="0" applyFont="1" applyFill="1" applyBorder="1"/>
    <xf numFmtId="0" fontId="57" fillId="27" borderId="17" xfId="0" applyFont="1" applyFill="1" applyBorder="1"/>
    <xf numFmtId="0" fontId="54" fillId="27" borderId="0" xfId="0" applyFont="1" applyFill="1" applyBorder="1" applyAlignment="1">
      <alignment vertical="center"/>
    </xf>
    <xf numFmtId="0" fontId="53" fillId="27" borderId="0" xfId="4" applyFont="1" applyFill="1" applyBorder="1" applyAlignment="1">
      <alignment horizontal="center" vertical="center" wrapText="1"/>
    </xf>
    <xf numFmtId="0" fontId="55" fillId="27" borderId="0" xfId="0" applyFont="1" applyFill="1" applyBorder="1" applyAlignment="1">
      <alignment vertical="center"/>
    </xf>
    <xf numFmtId="0" fontId="49" fillId="27" borderId="0" xfId="0" applyFont="1" applyFill="1" applyBorder="1" applyAlignment="1">
      <alignment vertical="center" wrapText="1"/>
    </xf>
    <xf numFmtId="0" fontId="49" fillId="27" borderId="0" xfId="0" applyFont="1" applyFill="1" applyBorder="1" applyAlignment="1">
      <alignment horizontal="center" vertical="center" wrapText="1"/>
    </xf>
    <xf numFmtId="0" fontId="53" fillId="27" borderId="0" xfId="0" applyFont="1" applyFill="1"/>
    <xf numFmtId="0" fontId="52" fillId="27" borderId="16" xfId="0" applyFont="1" applyFill="1" applyBorder="1"/>
    <xf numFmtId="0" fontId="72" fillId="28" borderId="0" xfId="0" applyFont="1" applyFill="1"/>
    <xf numFmtId="0" fontId="54" fillId="28" borderId="0" xfId="0" applyFont="1" applyFill="1" applyBorder="1" applyAlignment="1">
      <alignment vertical="center"/>
    </xf>
    <xf numFmtId="0" fontId="55" fillId="28" borderId="0" xfId="0" applyFont="1" applyFill="1" applyBorder="1" applyAlignment="1">
      <alignment vertical="center"/>
    </xf>
    <xf numFmtId="0" fontId="49" fillId="28" borderId="0" xfId="0" applyFont="1" applyFill="1" applyBorder="1" applyAlignment="1">
      <alignment horizontal="center" vertical="center" wrapText="1"/>
    </xf>
    <xf numFmtId="0" fontId="49" fillId="28" borderId="0" xfId="0" applyFont="1" applyFill="1" applyBorder="1" applyAlignment="1">
      <alignment vertical="center" wrapText="1"/>
    </xf>
    <xf numFmtId="0" fontId="53" fillId="28" borderId="0" xfId="4" applyFont="1" applyFill="1" applyBorder="1" applyAlignment="1">
      <alignment horizontal="center" vertical="center" wrapText="1"/>
    </xf>
    <xf numFmtId="0" fontId="81" fillId="12" borderId="0" xfId="0" applyFont="1" applyFill="1" applyAlignment="1">
      <alignment vertical="center"/>
    </xf>
    <xf numFmtId="0" fontId="17" fillId="12" borderId="0" xfId="0" applyFont="1" applyFill="1" applyAlignment="1">
      <alignment vertical="center"/>
    </xf>
    <xf numFmtId="0" fontId="17" fillId="12" borderId="0" xfId="0" applyFont="1" applyFill="1" applyAlignment="1">
      <alignment horizontal="center" vertical="center"/>
    </xf>
    <xf numFmtId="0" fontId="0" fillId="12" borderId="0" xfId="0" applyFont="1" applyFill="1" applyAlignment="1">
      <alignment vertical="center"/>
    </xf>
    <xf numFmtId="0" fontId="49" fillId="28" borderId="2" xfId="0" applyFont="1" applyFill="1" applyBorder="1" applyAlignment="1">
      <alignment horizontal="center" vertical="center"/>
    </xf>
    <xf numFmtId="0" fontId="49" fillId="28" borderId="2" xfId="0" applyFont="1" applyFill="1" applyBorder="1" applyAlignment="1">
      <alignment horizontal="left" vertical="center"/>
    </xf>
    <xf numFmtId="0" fontId="49" fillId="28" borderId="2" xfId="0" applyFont="1" applyFill="1" applyBorder="1" applyAlignment="1">
      <alignment horizontal="center" vertical="center" wrapText="1"/>
    </xf>
    <xf numFmtId="0" fontId="17" fillId="12" borderId="0" xfId="0" applyFont="1" applyFill="1" applyBorder="1" applyAlignment="1">
      <alignment vertical="center"/>
    </xf>
    <xf numFmtId="0" fontId="17" fillId="0" borderId="7" xfId="0" applyFont="1" applyFill="1" applyBorder="1" applyAlignment="1">
      <alignment horizontal="center" vertical="top"/>
    </xf>
    <xf numFmtId="0" fontId="17" fillId="0" borderId="1" xfId="0" applyFont="1" applyFill="1" applyBorder="1" applyAlignment="1">
      <alignment horizontal="left" vertical="top"/>
    </xf>
    <xf numFmtId="0" fontId="17" fillId="0" borderId="3" xfId="0" applyFont="1" applyFill="1" applyBorder="1" applyAlignment="1">
      <alignment horizontal="center"/>
    </xf>
    <xf numFmtId="0" fontId="17" fillId="0" borderId="1" xfId="0" applyFont="1" applyFill="1" applyBorder="1" applyAlignment="1">
      <alignment horizontal="center" vertical="center"/>
    </xf>
    <xf numFmtId="0" fontId="35" fillId="0" borderId="1" xfId="4" applyFont="1" applyFill="1" applyBorder="1" applyAlignment="1">
      <alignment horizontal="center" vertical="center" wrapText="1"/>
    </xf>
    <xf numFmtId="0" fontId="17" fillId="12" borderId="0" xfId="0" applyFont="1" applyFill="1"/>
    <xf numFmtId="0" fontId="17" fillId="0" borderId="8" xfId="0" applyFont="1" applyFill="1" applyBorder="1" applyAlignment="1">
      <alignment horizontal="center" vertical="top"/>
    </xf>
    <xf numFmtId="0" fontId="17" fillId="0" borderId="2" xfId="0" applyFont="1" applyFill="1" applyBorder="1" applyAlignment="1">
      <alignment horizontal="center" vertical="top"/>
    </xf>
    <xf numFmtId="0" fontId="17" fillId="0" borderId="1" xfId="0" applyFont="1" applyFill="1" applyBorder="1" applyAlignment="1">
      <alignment horizontal="center" vertical="top"/>
    </xf>
    <xf numFmtId="0" fontId="17" fillId="0" borderId="1" xfId="0" applyFont="1" applyFill="1" applyBorder="1"/>
    <xf numFmtId="0" fontId="17" fillId="0" borderId="15" xfId="0" applyFont="1" applyFill="1" applyBorder="1" applyAlignment="1">
      <alignment horizontal="center" vertical="center"/>
    </xf>
    <xf numFmtId="0" fontId="17" fillId="0" borderId="7" xfId="0" applyFont="1" applyFill="1" applyBorder="1" applyAlignment="1">
      <alignment horizontal="left" vertical="top"/>
    </xf>
    <xf numFmtId="0" fontId="17" fillId="0" borderId="3" xfId="0" applyFont="1" applyFill="1" applyBorder="1" applyAlignment="1">
      <alignment horizontal="center" vertical="center"/>
    </xf>
    <xf numFmtId="0" fontId="27" fillId="0" borderId="28" xfId="0" applyFont="1" applyFill="1" applyBorder="1" applyAlignment="1">
      <alignment horizontal="left" vertical="top" wrapText="1"/>
    </xf>
    <xf numFmtId="0" fontId="35" fillId="0" borderId="1" xfId="4" applyFont="1" applyFill="1" applyBorder="1" applyAlignment="1">
      <alignment horizontal="center" vertical="center"/>
    </xf>
    <xf numFmtId="0" fontId="27" fillId="0" borderId="7" xfId="0" applyFont="1" applyFill="1" applyBorder="1" applyAlignment="1">
      <alignment horizontal="left" vertical="top" wrapText="1"/>
    </xf>
    <xf numFmtId="0" fontId="82" fillId="0" borderId="15" xfId="0" applyFont="1" applyFill="1" applyBorder="1" applyAlignment="1">
      <alignment horizontal="center" vertical="center" wrapText="1"/>
    </xf>
    <xf numFmtId="0" fontId="35" fillId="0" borderId="1" xfId="4" applyFont="1" applyFill="1" applyBorder="1" applyAlignment="1">
      <alignment horizontal="left" vertical="top" wrapText="1"/>
    </xf>
    <xf numFmtId="0" fontId="82" fillId="0" borderId="32" xfId="0" applyFont="1" applyFill="1" applyBorder="1" applyAlignment="1">
      <alignment horizontal="center" vertical="center" wrapText="1"/>
    </xf>
    <xf numFmtId="0" fontId="17" fillId="0" borderId="8" xfId="0" applyFont="1" applyFill="1" applyBorder="1" applyAlignment="1">
      <alignment vertical="top"/>
    </xf>
    <xf numFmtId="0" fontId="17" fillId="0" borderId="12" xfId="0" applyFont="1" applyFill="1" applyBorder="1" applyAlignment="1">
      <alignment vertical="top"/>
    </xf>
    <xf numFmtId="0" fontId="17" fillId="0" borderId="9" xfId="0" applyFont="1" applyFill="1" applyBorder="1" applyAlignment="1">
      <alignment horizontal="center" vertical="top"/>
    </xf>
    <xf numFmtId="0" fontId="17" fillId="0" borderId="13" xfId="0" applyFont="1" applyFill="1" applyBorder="1" applyAlignment="1">
      <alignment vertical="top"/>
    </xf>
    <xf numFmtId="0" fontId="27" fillId="0" borderId="1" xfId="0" applyFont="1" applyFill="1" applyBorder="1" applyAlignment="1">
      <alignment horizontal="left" vertical="top" wrapText="1"/>
    </xf>
    <xf numFmtId="0" fontId="82" fillId="0" borderId="1" xfId="0" applyFont="1" applyFill="1" applyBorder="1" applyAlignment="1">
      <alignment horizontal="center" vertical="center"/>
    </xf>
    <xf numFmtId="0" fontId="17" fillId="0" borderId="1" xfId="0" applyFont="1" applyFill="1" applyBorder="1" applyAlignment="1">
      <alignment horizontal="left" vertical="top" wrapText="1"/>
    </xf>
    <xf numFmtId="0" fontId="17" fillId="0" borderId="1" xfId="0" applyFont="1" applyFill="1" applyBorder="1" applyAlignment="1">
      <alignment vertical="top"/>
    </xf>
    <xf numFmtId="0" fontId="17" fillId="0" borderId="2" xfId="0" applyFont="1" applyFill="1" applyBorder="1" applyAlignment="1">
      <alignment vertical="top"/>
    </xf>
    <xf numFmtId="0" fontId="27" fillId="0" borderId="3" xfId="0" applyFont="1" applyFill="1" applyBorder="1" applyAlignment="1">
      <alignment horizontal="center" vertical="center" wrapText="1"/>
    </xf>
    <xf numFmtId="0" fontId="17" fillId="0" borderId="1" xfId="0" applyFont="1" applyFill="1" applyBorder="1" applyAlignment="1">
      <alignment vertical="top" wrapText="1"/>
    </xf>
    <xf numFmtId="0" fontId="62" fillId="12" borderId="0" xfId="0" applyFont="1" applyFill="1" applyBorder="1" applyAlignment="1">
      <alignment horizontal="center" vertical="center"/>
    </xf>
    <xf numFmtId="0" fontId="17" fillId="12" borderId="0" xfId="0" applyFont="1" applyFill="1" applyAlignment="1">
      <alignment horizontal="right"/>
    </xf>
    <xf numFmtId="0" fontId="17" fillId="12" borderId="0" xfId="0" applyFont="1" applyFill="1" applyBorder="1"/>
    <xf numFmtId="0" fontId="17" fillId="0" borderId="7" xfId="0" applyFont="1" applyFill="1" applyBorder="1" applyAlignment="1">
      <alignment vertical="top" wrapText="1"/>
    </xf>
    <xf numFmtId="0" fontId="17" fillId="0" borderId="8" xfId="0" applyFont="1" applyFill="1" applyBorder="1" applyAlignment="1">
      <alignment vertical="top" wrapText="1"/>
    </xf>
    <xf numFmtId="0" fontId="17" fillId="0" borderId="2" xfId="0" applyFont="1" applyFill="1" applyBorder="1" applyAlignment="1">
      <alignment vertical="top" wrapText="1"/>
    </xf>
    <xf numFmtId="3" fontId="17" fillId="11" borderId="1" xfId="0" applyNumberFormat="1" applyFont="1" applyFill="1" applyBorder="1" applyAlignment="1">
      <alignment horizontal="right" vertical="center"/>
    </xf>
    <xf numFmtId="3" fontId="17" fillId="16" borderId="1" xfId="0" applyNumberFormat="1" applyFont="1" applyFill="1" applyBorder="1" applyAlignment="1">
      <alignment horizontal="right" vertical="center"/>
    </xf>
    <xf numFmtId="3" fontId="17" fillId="0" borderId="1" xfId="0" applyNumberFormat="1" applyFont="1" applyFill="1" applyBorder="1" applyAlignment="1">
      <alignment horizontal="right" vertical="center"/>
    </xf>
    <xf numFmtId="3" fontId="70" fillId="9" borderId="21" xfId="0" applyNumberFormat="1" applyFont="1" applyFill="1" applyBorder="1" applyAlignment="1">
      <alignment horizontal="right"/>
    </xf>
    <xf numFmtId="0" fontId="17" fillId="9" borderId="0" xfId="0" applyFont="1" applyFill="1" applyAlignment="1">
      <alignment vertical="center"/>
    </xf>
    <xf numFmtId="0" fontId="16" fillId="9" borderId="0" xfId="0" applyFont="1" applyFill="1"/>
    <xf numFmtId="0" fontId="69" fillId="9" borderId="0" xfId="0" applyFont="1" applyFill="1" applyAlignment="1">
      <alignment horizontal="right"/>
    </xf>
    <xf numFmtId="3" fontId="56" fillId="0" borderId="1" xfId="0" applyNumberFormat="1" applyFont="1" applyFill="1" applyBorder="1" applyAlignment="1">
      <alignment horizontal="right" vertical="center"/>
    </xf>
    <xf numFmtId="0" fontId="83" fillId="14" borderId="2" xfId="0" applyFont="1" applyFill="1" applyBorder="1" applyAlignment="1">
      <alignment horizontal="right" vertical="center" wrapText="1"/>
    </xf>
    <xf numFmtId="3" fontId="19" fillId="9" borderId="0" xfId="0" applyNumberFormat="1" applyFont="1" applyFill="1" applyBorder="1"/>
    <xf numFmtId="3" fontId="19" fillId="9" borderId="0" xfId="0" applyNumberFormat="1" applyFont="1" applyFill="1"/>
    <xf numFmtId="3" fontId="26" fillId="9" borderId="0" xfId="0" applyNumberFormat="1" applyFont="1" applyFill="1"/>
    <xf numFmtId="0" fontId="62" fillId="22" borderId="0" xfId="0" applyFont="1" applyFill="1" applyAlignment="1">
      <alignment horizontal="right"/>
    </xf>
    <xf numFmtId="0" fontId="15" fillId="9" borderId="0" xfId="0" applyFont="1" applyFill="1"/>
    <xf numFmtId="0" fontId="57" fillId="14" borderId="16" xfId="4" applyFont="1" applyFill="1" applyBorder="1" applyAlignment="1">
      <alignment vertical="center" wrapText="1"/>
    </xf>
    <xf numFmtId="0" fontId="78" fillId="21" borderId="0" xfId="0" applyFont="1" applyFill="1"/>
    <xf numFmtId="0" fontId="86" fillId="9" borderId="0" xfId="0" applyFont="1" applyFill="1" applyAlignment="1">
      <alignment horizontal="right"/>
    </xf>
    <xf numFmtId="0" fontId="86" fillId="9" borderId="0" xfId="0" applyFont="1" applyFill="1"/>
    <xf numFmtId="0" fontId="62" fillId="9" borderId="0" xfId="0" applyFont="1" applyFill="1"/>
    <xf numFmtId="0" fontId="88" fillId="9" borderId="0" xfId="0" applyFont="1" applyFill="1" applyBorder="1" applyAlignment="1">
      <alignment horizontal="right"/>
    </xf>
    <xf numFmtId="0" fontId="89" fillId="9" borderId="0" xfId="0" applyFont="1" applyFill="1" applyBorder="1" applyAlignment="1">
      <alignment horizontal="right"/>
    </xf>
    <xf numFmtId="0" fontId="90" fillId="9" borderId="0" xfId="15" applyFill="1" applyAlignment="1" applyProtection="1"/>
    <xf numFmtId="0" fontId="91" fillId="9" borderId="0" xfId="0" applyFont="1" applyFill="1" applyAlignment="1">
      <alignment vertical="top" wrapText="1"/>
    </xf>
    <xf numFmtId="0" fontId="88" fillId="9" borderId="41" xfId="0" applyFont="1" applyFill="1" applyBorder="1" applyAlignment="1">
      <alignment horizontal="right"/>
    </xf>
    <xf numFmtId="0" fontId="88" fillId="9" borderId="42" xfId="0" applyFont="1" applyFill="1" applyBorder="1"/>
    <xf numFmtId="0" fontId="88" fillId="9" borderId="43" xfId="0" applyFont="1" applyFill="1" applyBorder="1" applyAlignment="1">
      <alignment horizontal="right"/>
    </xf>
    <xf numFmtId="0" fontId="91" fillId="9" borderId="0" xfId="0" applyFont="1" applyFill="1"/>
    <xf numFmtId="0" fontId="91" fillId="9" borderId="45" xfId="0" applyFont="1" applyFill="1" applyBorder="1" applyAlignment="1">
      <alignment vertical="center" wrapText="1"/>
    </xf>
    <xf numFmtId="0" fontId="91" fillId="9" borderId="45" xfId="0" applyFont="1" applyFill="1" applyBorder="1" applyAlignment="1">
      <alignment horizontal="right"/>
    </xf>
    <xf numFmtId="0" fontId="87" fillId="9" borderId="0" xfId="0" applyFont="1" applyFill="1"/>
    <xf numFmtId="0" fontId="91" fillId="9" borderId="0" xfId="0" applyFont="1" applyFill="1" applyBorder="1" applyAlignment="1">
      <alignment vertical="center" wrapText="1"/>
    </xf>
    <xf numFmtId="0" fontId="91" fillId="9" borderId="0" xfId="0" applyFont="1" applyFill="1" applyBorder="1" applyAlignment="1">
      <alignment horizontal="right"/>
    </xf>
    <xf numFmtId="0" fontId="91" fillId="9" borderId="46" xfId="0" applyFont="1" applyFill="1" applyBorder="1" applyAlignment="1">
      <alignment vertical="center" wrapText="1"/>
    </xf>
    <xf numFmtId="0" fontId="91" fillId="9" borderId="46" xfId="0" applyFont="1" applyFill="1" applyBorder="1" applyAlignment="1">
      <alignment horizontal="right"/>
    </xf>
    <xf numFmtId="3" fontId="91" fillId="9" borderId="0" xfId="0" applyNumberFormat="1" applyFont="1" applyFill="1" applyAlignment="1">
      <alignment horizontal="right"/>
    </xf>
    <xf numFmtId="3" fontId="0" fillId="9" borderId="0" xfId="0" applyNumberFormat="1" applyFill="1"/>
    <xf numFmtId="0" fontId="0" fillId="9" borderId="0" xfId="0" applyFill="1" applyAlignment="1">
      <alignment vertical="top" wrapText="1"/>
    </xf>
    <xf numFmtId="0" fontId="94" fillId="9" borderId="0" xfId="0" applyFont="1" applyFill="1" applyAlignment="1">
      <alignment vertical="top"/>
    </xf>
    <xf numFmtId="0" fontId="14" fillId="9" borderId="0" xfId="0" applyFont="1" applyFill="1"/>
    <xf numFmtId="3" fontId="14" fillId="9" borderId="0" xfId="0" applyNumberFormat="1" applyFont="1" applyFill="1" applyBorder="1" applyAlignment="1">
      <alignment horizontal="right"/>
    </xf>
    <xf numFmtId="0" fontId="13" fillId="12" borderId="0" xfId="0" applyFont="1" applyFill="1" applyAlignment="1">
      <alignment vertical="top"/>
    </xf>
    <xf numFmtId="0" fontId="13" fillId="12" borderId="0" xfId="0" applyFont="1" applyFill="1" applyAlignment="1">
      <alignment vertical="center"/>
    </xf>
    <xf numFmtId="0" fontId="13" fillId="12" borderId="0" xfId="0" applyFont="1" applyFill="1" applyAlignment="1">
      <alignment horizontal="center" vertical="top"/>
    </xf>
    <xf numFmtId="0" fontId="13" fillId="9" borderId="0" xfId="0" applyFont="1" applyFill="1" applyAlignment="1">
      <alignment horizontal="center" vertical="center"/>
    </xf>
    <xf numFmtId="0" fontId="13" fillId="9" borderId="0" xfId="0" applyFont="1" applyFill="1" applyAlignment="1">
      <alignment vertical="center"/>
    </xf>
    <xf numFmtId="0" fontId="13" fillId="12" borderId="0" xfId="0" applyFont="1" applyFill="1" applyAlignment="1">
      <alignment horizontal="center" vertical="center"/>
    </xf>
    <xf numFmtId="0" fontId="60" fillId="12" borderId="0" xfId="0" applyFont="1" applyFill="1" applyBorder="1" applyAlignment="1">
      <alignment horizontal="center" vertical="center" wrapText="1"/>
    </xf>
    <xf numFmtId="0" fontId="13" fillId="15" borderId="0" xfId="0" applyFont="1" applyFill="1" applyBorder="1" applyAlignment="1">
      <alignment vertical="center" wrapText="1"/>
    </xf>
    <xf numFmtId="0" fontId="50" fillId="15" borderId="8" xfId="0" applyFont="1" applyFill="1" applyBorder="1" applyAlignment="1">
      <alignment horizontal="center"/>
    </xf>
    <xf numFmtId="0" fontId="50" fillId="15" borderId="8" xfId="0" applyFont="1" applyFill="1" applyBorder="1" applyAlignment="1">
      <alignment horizontal="left" vertical="center" wrapText="1"/>
    </xf>
    <xf numFmtId="0" fontId="50" fillId="15" borderId="8" xfId="0" applyFont="1" applyFill="1" applyBorder="1" applyAlignment="1">
      <alignment horizontal="left" vertical="center"/>
    </xf>
    <xf numFmtId="0" fontId="50" fillId="15" borderId="8" xfId="0" applyFont="1" applyFill="1" applyBorder="1" applyAlignment="1">
      <alignment horizontal="center" vertical="center" wrapText="1"/>
    </xf>
    <xf numFmtId="0" fontId="49" fillId="13" borderId="10" xfId="0" applyFont="1" applyFill="1" applyBorder="1" applyAlignment="1">
      <alignment horizontal="center" vertical="center" wrapText="1"/>
    </xf>
    <xf numFmtId="0" fontId="13" fillId="12" borderId="0" xfId="0" applyFont="1" applyFill="1" applyBorder="1" applyAlignment="1">
      <alignment vertical="center"/>
    </xf>
    <xf numFmtId="0" fontId="13" fillId="0" borderId="1" xfId="0" applyFont="1" applyFill="1" applyBorder="1" applyAlignment="1">
      <alignment horizontal="center"/>
    </xf>
    <xf numFmtId="0" fontId="13" fillId="0" borderId="1" xfId="0" applyFont="1" applyFill="1" applyBorder="1"/>
    <xf numFmtId="0" fontId="13" fillId="9" borderId="0" xfId="0" applyFont="1" applyFill="1" applyBorder="1" applyAlignment="1">
      <alignment horizontal="center"/>
    </xf>
    <xf numFmtId="0" fontId="13" fillId="0" borderId="15" xfId="0" applyFont="1" applyFill="1" applyBorder="1" applyAlignment="1">
      <alignment horizontal="center" vertical="top"/>
    </xf>
    <xf numFmtId="0" fontId="13" fillId="0" borderId="1" xfId="0" applyFont="1" applyFill="1" applyBorder="1" applyAlignment="1">
      <alignment horizontal="center" vertical="center"/>
    </xf>
    <xf numFmtId="3" fontId="13" fillId="0" borderId="6" xfId="0" applyNumberFormat="1" applyFont="1" applyFill="1" applyBorder="1" applyAlignment="1">
      <alignment horizontal="right" vertical="center"/>
    </xf>
    <xf numFmtId="0" fontId="13" fillId="9" borderId="18" xfId="0" applyFont="1" applyFill="1" applyBorder="1" applyAlignment="1">
      <alignment horizontal="center"/>
    </xf>
    <xf numFmtId="0" fontId="13" fillId="9" borderId="0" xfId="0" applyFont="1" applyFill="1"/>
    <xf numFmtId="0" fontId="13" fillId="0" borderId="19" xfId="0" applyFont="1" applyFill="1" applyBorder="1" applyAlignment="1">
      <alignment horizontal="center" vertical="top"/>
    </xf>
    <xf numFmtId="0" fontId="13" fillId="0" borderId="10" xfId="0" applyFont="1" applyFill="1" applyBorder="1" applyAlignment="1">
      <alignment horizontal="center" vertical="top"/>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3" fillId="0" borderId="1" xfId="0" applyFont="1" applyFill="1" applyBorder="1" applyAlignment="1">
      <alignment wrapText="1"/>
    </xf>
    <xf numFmtId="0" fontId="13" fillId="0" borderId="2" xfId="0" applyFont="1" applyFill="1" applyBorder="1" applyAlignment="1">
      <alignment horizontal="center" vertical="top"/>
    </xf>
    <xf numFmtId="0" fontId="13" fillId="0" borderId="1" xfId="0" applyFont="1" applyFill="1" applyBorder="1" applyAlignment="1">
      <alignment horizontal="left" wrapText="1"/>
    </xf>
    <xf numFmtId="0" fontId="13" fillId="17" borderId="8" xfId="0" applyFont="1" applyFill="1" applyBorder="1" applyAlignment="1">
      <alignment horizontal="center" vertical="top"/>
    </xf>
    <xf numFmtId="0" fontId="13" fillId="17" borderId="2" xfId="0" applyFont="1" applyFill="1" applyBorder="1" applyAlignment="1">
      <alignment horizontal="center" vertical="top"/>
    </xf>
    <xf numFmtId="0" fontId="13" fillId="9" borderId="0" xfId="0" applyFont="1" applyFill="1" applyAlignment="1">
      <alignment horizontal="center" vertical="top"/>
    </xf>
    <xf numFmtId="0" fontId="13" fillId="9" borderId="0" xfId="0" applyFont="1" applyFill="1" applyAlignment="1">
      <alignment horizontal="center"/>
    </xf>
    <xf numFmtId="0" fontId="13" fillId="9" borderId="0" xfId="0" applyFont="1" applyFill="1" applyAlignment="1">
      <alignment horizontal="left"/>
    </xf>
    <xf numFmtId="0" fontId="13" fillId="9" borderId="0" xfId="0" applyFont="1" applyFill="1" applyAlignment="1">
      <alignment vertical="top"/>
    </xf>
    <xf numFmtId="0" fontId="13" fillId="9" borderId="0" xfId="0" applyFont="1" applyFill="1" applyBorder="1"/>
    <xf numFmtId="0" fontId="12" fillId="9" borderId="0" xfId="0" applyFont="1" applyFill="1"/>
    <xf numFmtId="0" fontId="26" fillId="9" borderId="19" xfId="0" applyFont="1" applyFill="1" applyBorder="1"/>
    <xf numFmtId="0" fontId="26" fillId="9" borderId="18" xfId="0" applyFont="1" applyFill="1" applyBorder="1"/>
    <xf numFmtId="3" fontId="10" fillId="0" borderId="8"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0" fillId="0" borderId="7" xfId="0" applyNumberFormat="1" applyFont="1" applyFill="1" applyBorder="1" applyAlignment="1">
      <alignment horizontal="right" vertical="center"/>
    </xf>
    <xf numFmtId="0" fontId="73" fillId="0" borderId="7" xfId="0" applyFont="1" applyFill="1" applyBorder="1" applyAlignment="1">
      <alignment horizontal="center" vertical="center"/>
    </xf>
    <xf numFmtId="0" fontId="98" fillId="20" borderId="1" xfId="0" applyFont="1" applyFill="1" applyBorder="1" applyAlignment="1">
      <alignment horizontal="center" vertical="center"/>
    </xf>
    <xf numFmtId="0" fontId="9" fillId="9" borderId="0" xfId="0" applyFont="1" applyFill="1" applyAlignment="1">
      <alignment horizontal="right" vertical="center"/>
    </xf>
    <xf numFmtId="0" fontId="22" fillId="9" borderId="0" xfId="0" applyFont="1" applyFill="1" applyAlignment="1">
      <alignment horizontal="right" vertical="center" indent="2"/>
    </xf>
    <xf numFmtId="0" fontId="52" fillId="9" borderId="0" xfId="0" applyFont="1" applyFill="1" applyAlignment="1">
      <alignment horizontal="right" vertical="center" indent="2"/>
    </xf>
    <xf numFmtId="0" fontId="51" fillId="13" borderId="18" xfId="0" applyFont="1" applyFill="1" applyBorder="1" applyAlignment="1">
      <alignment horizontal="center" wrapText="1"/>
    </xf>
    <xf numFmtId="3" fontId="26" fillId="19" borderId="16" xfId="0" applyNumberFormat="1" applyFont="1" applyFill="1" applyBorder="1" applyAlignment="1">
      <alignment horizontal="center" vertical="center"/>
    </xf>
    <xf numFmtId="3" fontId="26" fillId="19" borderId="17" xfId="0" applyNumberFormat="1" applyFont="1" applyFill="1" applyBorder="1" applyAlignment="1">
      <alignment horizontal="center" vertical="center"/>
    </xf>
    <xf numFmtId="3" fontId="12" fillId="19" borderId="18" xfId="0" applyNumberFormat="1" applyFont="1" applyFill="1" applyBorder="1" applyAlignment="1">
      <alignment horizontal="center" vertical="center"/>
    </xf>
    <xf numFmtId="3" fontId="26" fillId="19" borderId="0" xfId="0" applyNumberFormat="1" applyFont="1" applyFill="1" applyBorder="1" applyAlignment="1">
      <alignment horizontal="center" vertical="center"/>
    </xf>
    <xf numFmtId="3" fontId="26" fillId="19" borderId="18" xfId="0" applyNumberFormat="1" applyFont="1" applyFill="1" applyBorder="1" applyAlignment="1">
      <alignment horizontal="center" vertical="center"/>
    </xf>
    <xf numFmtId="3" fontId="52" fillId="19" borderId="16" xfId="0" applyNumberFormat="1" applyFont="1" applyFill="1" applyBorder="1" applyAlignment="1">
      <alignment horizontal="center" vertical="center"/>
    </xf>
    <xf numFmtId="3" fontId="52" fillId="19" borderId="18" xfId="0" applyNumberFormat="1" applyFont="1" applyFill="1" applyBorder="1" applyAlignment="1">
      <alignment horizontal="center" vertical="center"/>
    </xf>
    <xf numFmtId="3" fontId="52" fillId="19" borderId="0" xfId="0" applyNumberFormat="1" applyFont="1" applyFill="1" applyBorder="1" applyAlignment="1">
      <alignment horizontal="center" vertical="center"/>
    </xf>
    <xf numFmtId="3" fontId="52" fillId="19" borderId="17" xfId="0" applyNumberFormat="1" applyFont="1" applyFill="1" applyBorder="1" applyAlignment="1">
      <alignment horizontal="center" vertical="center"/>
    </xf>
    <xf numFmtId="0" fontId="26" fillId="9" borderId="15" xfId="0" applyFont="1" applyFill="1" applyBorder="1" applyAlignment="1">
      <alignment horizontal="center" vertical="center"/>
    </xf>
    <xf numFmtId="0" fontId="26" fillId="9" borderId="16" xfId="0" applyFont="1" applyFill="1" applyBorder="1" applyAlignment="1">
      <alignment horizontal="left" vertical="top" wrapText="1"/>
    </xf>
    <xf numFmtId="3" fontId="26" fillId="9" borderId="15" xfId="0" applyNumberFormat="1" applyFont="1" applyFill="1" applyBorder="1" applyAlignment="1">
      <alignment horizontal="right" vertical="center"/>
    </xf>
    <xf numFmtId="3" fontId="26" fillId="9" borderId="16" xfId="0" applyNumberFormat="1" applyFont="1" applyFill="1" applyBorder="1" applyAlignment="1">
      <alignment horizontal="right" vertical="center"/>
    </xf>
    <xf numFmtId="3" fontId="26" fillId="9" borderId="17" xfId="0" applyNumberFormat="1" applyFont="1" applyFill="1" applyBorder="1" applyAlignment="1">
      <alignment horizontal="right" vertical="center"/>
    </xf>
    <xf numFmtId="0" fontId="26" fillId="9" borderId="19" xfId="0" applyFont="1" applyFill="1" applyBorder="1" applyAlignment="1">
      <alignment horizontal="center" vertical="center"/>
    </xf>
    <xf numFmtId="0" fontId="26" fillId="9" borderId="18" xfId="0" applyFont="1" applyFill="1" applyBorder="1" applyAlignment="1">
      <alignment horizontal="left" vertical="top" wrapText="1"/>
    </xf>
    <xf numFmtId="3" fontId="26" fillId="9" borderId="19" xfId="0" applyNumberFormat="1" applyFont="1" applyFill="1" applyBorder="1" applyAlignment="1">
      <alignment horizontal="right" vertical="center"/>
    </xf>
    <xf numFmtId="3" fontId="26" fillId="9" borderId="18" xfId="0" applyNumberFormat="1" applyFont="1" applyFill="1" applyBorder="1" applyAlignment="1">
      <alignment horizontal="right" vertical="center"/>
    </xf>
    <xf numFmtId="3" fontId="26" fillId="9" borderId="0" xfId="0" applyNumberFormat="1" applyFont="1" applyFill="1" applyBorder="1" applyAlignment="1">
      <alignment horizontal="right" vertical="center"/>
    </xf>
    <xf numFmtId="0" fontId="26" fillId="9" borderId="1" xfId="0" applyFont="1" applyFill="1" applyBorder="1" applyAlignment="1">
      <alignment horizontal="center" vertical="top"/>
    </xf>
    <xf numFmtId="0" fontId="26" fillId="9" borderId="1" xfId="0" applyFont="1" applyFill="1" applyBorder="1" applyAlignment="1">
      <alignment horizontal="left" vertical="top" wrapText="1"/>
    </xf>
    <xf numFmtId="0" fontId="26" fillId="9" borderId="3" xfId="0" applyFont="1" applyFill="1" applyBorder="1" applyAlignment="1">
      <alignment horizontal="center" vertical="center"/>
    </xf>
    <xf numFmtId="0" fontId="26" fillId="9" borderId="6" xfId="0" applyFont="1" applyFill="1" applyBorder="1" applyAlignment="1">
      <alignment horizontal="left" vertical="top" wrapText="1"/>
    </xf>
    <xf numFmtId="3" fontId="26" fillId="9" borderId="5" xfId="0" applyNumberFormat="1" applyFont="1" applyFill="1" applyBorder="1" applyAlignment="1">
      <alignment horizontal="right" vertical="center"/>
    </xf>
    <xf numFmtId="3" fontId="26" fillId="9" borderId="6" xfId="0" applyNumberFormat="1" applyFont="1" applyFill="1" applyBorder="1" applyAlignment="1">
      <alignment horizontal="right" vertical="center"/>
    </xf>
    <xf numFmtId="0" fontId="26" fillId="9" borderId="2" xfId="0" applyFont="1" applyFill="1" applyBorder="1" applyAlignment="1">
      <alignment horizontal="left" vertical="top" wrapText="1"/>
    </xf>
    <xf numFmtId="0" fontId="26" fillId="9" borderId="10" xfId="0" applyFont="1" applyFill="1" applyBorder="1" applyAlignment="1">
      <alignment horizontal="center" vertical="center"/>
    </xf>
    <xf numFmtId="0" fontId="26" fillId="9" borderId="11" xfId="0" applyFont="1" applyFill="1" applyBorder="1" applyAlignment="1">
      <alignment horizontal="left" vertical="top" wrapText="1"/>
    </xf>
    <xf numFmtId="3" fontId="26" fillId="9" borderId="7" xfId="0" applyNumberFormat="1" applyFont="1" applyFill="1" applyBorder="1" applyAlignment="1">
      <alignment horizontal="right" vertical="center"/>
    </xf>
    <xf numFmtId="3" fontId="26" fillId="9" borderId="8" xfId="0" applyNumberFormat="1" applyFont="1" applyFill="1" applyBorder="1" applyAlignment="1">
      <alignment horizontal="right" vertical="center"/>
    </xf>
    <xf numFmtId="3" fontId="26" fillId="9" borderId="3" xfId="0" applyNumberFormat="1" applyFont="1" applyFill="1" applyBorder="1" applyAlignment="1">
      <alignment horizontal="right" vertical="center"/>
    </xf>
    <xf numFmtId="0" fontId="26" fillId="9" borderId="16" xfId="0" applyFont="1" applyFill="1" applyBorder="1" applyAlignment="1">
      <alignment horizontal="left" vertical="top"/>
    </xf>
    <xf numFmtId="0" fontId="26" fillId="9" borderId="18" xfId="0" applyFont="1" applyFill="1" applyBorder="1" applyAlignment="1">
      <alignment horizontal="left" vertical="top"/>
    </xf>
    <xf numFmtId="0" fontId="26" fillId="9" borderId="6" xfId="0" applyFont="1" applyFill="1" applyBorder="1" applyAlignment="1">
      <alignment horizontal="left" vertical="top"/>
    </xf>
    <xf numFmtId="0" fontId="26" fillId="9" borderId="11" xfId="0" applyFont="1" applyFill="1" applyBorder="1" applyAlignment="1">
      <alignment horizontal="left" vertical="top"/>
    </xf>
    <xf numFmtId="0" fontId="74" fillId="9" borderId="0" xfId="0" applyFont="1" applyFill="1"/>
    <xf numFmtId="0" fontId="9" fillId="9" borderId="0" xfId="0" applyFont="1" applyFill="1" applyAlignment="1">
      <alignment vertical="top"/>
    </xf>
    <xf numFmtId="0" fontId="26" fillId="22" borderId="0" xfId="0" applyFont="1" applyFill="1" applyBorder="1"/>
    <xf numFmtId="0" fontId="26" fillId="22" borderId="0" xfId="0" applyFont="1" applyFill="1" applyBorder="1" applyAlignment="1">
      <alignment vertical="center"/>
    </xf>
    <xf numFmtId="0" fontId="50" fillId="22" borderId="0" xfId="0" applyFont="1" applyFill="1" applyBorder="1" applyAlignment="1">
      <alignment horizontal="left" vertical="center"/>
    </xf>
    <xf numFmtId="0" fontId="74" fillId="21" borderId="0" xfId="0" applyFont="1" applyFill="1" applyBorder="1"/>
    <xf numFmtId="0" fontId="26" fillId="9" borderId="4" xfId="0" applyFont="1" applyFill="1" applyBorder="1"/>
    <xf numFmtId="0" fontId="74" fillId="21" borderId="19" xfId="0" applyFont="1" applyFill="1" applyBorder="1"/>
    <xf numFmtId="0" fontId="74" fillId="21" borderId="18" xfId="0" applyFont="1" applyFill="1" applyBorder="1"/>
    <xf numFmtId="0" fontId="24" fillId="22" borderId="50" xfId="0" applyFont="1" applyFill="1" applyBorder="1" applyAlignment="1">
      <alignment vertical="top"/>
    </xf>
    <xf numFmtId="0" fontId="63" fillId="22" borderId="51" xfId="0" applyFont="1" applyFill="1" applyBorder="1" applyAlignment="1">
      <alignment horizontal="left" vertical="center"/>
    </xf>
    <xf numFmtId="0" fontId="26" fillId="22" borderId="51" xfId="0" applyFont="1" applyFill="1" applyBorder="1" applyAlignment="1">
      <alignment horizontal="center" vertical="top"/>
    </xf>
    <xf numFmtId="0" fontId="26" fillId="22" borderId="51" xfId="0" applyFont="1" applyFill="1" applyBorder="1" applyAlignment="1">
      <alignment vertical="top"/>
    </xf>
    <xf numFmtId="0" fontId="26" fillId="22" borderId="52" xfId="0" applyFont="1" applyFill="1" applyBorder="1"/>
    <xf numFmtId="0" fontId="50" fillId="22" borderId="0" xfId="0" applyFont="1" applyFill="1" applyBorder="1"/>
    <xf numFmtId="0" fontId="26" fillId="22" borderId="52" xfId="0" applyFont="1" applyFill="1" applyBorder="1" applyAlignment="1">
      <alignment vertical="center"/>
    </xf>
    <xf numFmtId="0" fontId="9" fillId="22" borderId="0" xfId="0" applyFont="1" applyFill="1" applyBorder="1" applyAlignment="1">
      <alignment horizontal="right" vertical="center" indent="2"/>
    </xf>
    <xf numFmtId="0" fontId="50" fillId="22" borderId="52" xfId="0" applyFont="1" applyFill="1" applyBorder="1" applyAlignment="1">
      <alignment horizontal="left" vertical="center"/>
    </xf>
    <xf numFmtId="0" fontId="22" fillId="22" borderId="0" xfId="0" applyFont="1" applyFill="1" applyBorder="1" applyAlignment="1">
      <alignment horizontal="right" vertical="center" indent="2"/>
    </xf>
    <xf numFmtId="0" fontId="26" fillId="22" borderId="4" xfId="0" applyFont="1" applyFill="1" applyBorder="1" applyAlignment="1">
      <alignment vertical="center"/>
    </xf>
    <xf numFmtId="0" fontId="9" fillId="22" borderId="0" xfId="0" applyFont="1" applyFill="1" applyBorder="1"/>
    <xf numFmtId="0" fontId="64" fillId="22" borderId="51" xfId="0" applyFont="1" applyFill="1" applyBorder="1" applyAlignment="1">
      <alignment horizontal="left" vertical="center"/>
    </xf>
    <xf numFmtId="0" fontId="69" fillId="22" borderId="17" xfId="0" applyFont="1" applyFill="1" applyBorder="1" applyAlignment="1"/>
    <xf numFmtId="0" fontId="9" fillId="19" borderId="1" xfId="0" applyFont="1" applyFill="1" applyBorder="1" applyAlignment="1">
      <alignment horizontal="center" vertical="center"/>
    </xf>
    <xf numFmtId="0" fontId="9" fillId="22" borderId="4" xfId="0" applyFont="1" applyFill="1" applyBorder="1"/>
    <xf numFmtId="0" fontId="26" fillId="22" borderId="17" xfId="0" applyFont="1" applyFill="1" applyBorder="1" applyAlignment="1">
      <alignment vertical="top"/>
    </xf>
    <xf numFmtId="0" fontId="50" fillId="22" borderId="17" xfId="0" applyFont="1" applyFill="1" applyBorder="1" applyAlignment="1">
      <alignment horizontal="left" vertical="top"/>
    </xf>
    <xf numFmtId="0" fontId="26" fillId="22" borderId="18" xfId="0" applyFont="1" applyFill="1" applyBorder="1"/>
    <xf numFmtId="0" fontId="26" fillId="22" borderId="18" xfId="0" applyFont="1" applyFill="1" applyBorder="1" applyAlignment="1">
      <alignment vertical="center"/>
    </xf>
    <xf numFmtId="0" fontId="50" fillId="30" borderId="1" xfId="0" applyFont="1" applyFill="1" applyBorder="1" applyAlignment="1">
      <alignment horizontal="center" vertical="center"/>
    </xf>
    <xf numFmtId="0" fontId="52" fillId="32" borderId="1" xfId="0" applyFont="1" applyFill="1" applyBorder="1" applyAlignment="1">
      <alignment horizontal="center" vertical="center"/>
    </xf>
    <xf numFmtId="0" fontId="50" fillId="31" borderId="1" xfId="0" applyFont="1" applyFill="1" applyBorder="1" applyAlignment="1">
      <alignment horizontal="center" vertical="center"/>
    </xf>
    <xf numFmtId="0" fontId="99" fillId="9" borderId="0" xfId="0" applyFont="1" applyFill="1" applyAlignment="1">
      <alignment horizontal="right" vertical="center"/>
    </xf>
    <xf numFmtId="3" fontId="52" fillId="10" borderId="1" xfId="0" applyNumberFormat="1" applyFont="1" applyFill="1" applyBorder="1" applyAlignment="1">
      <alignment vertical="center"/>
    </xf>
    <xf numFmtId="3" fontId="18" fillId="25" borderId="1" xfId="0" applyNumberFormat="1" applyFont="1" applyFill="1" applyBorder="1" applyAlignment="1">
      <alignment horizontal="right" vertical="center"/>
    </xf>
    <xf numFmtId="0" fontId="100" fillId="12" borderId="0" xfId="0" applyFont="1" applyFill="1" applyAlignment="1">
      <alignment horizontal="left" vertical="center"/>
    </xf>
    <xf numFmtId="0" fontId="18" fillId="0" borderId="53" xfId="0" applyFont="1" applyFill="1" applyBorder="1" applyAlignment="1">
      <alignment horizontal="center" vertical="top"/>
    </xf>
    <xf numFmtId="0" fontId="8" fillId="0" borderId="3" xfId="0" applyFont="1" applyFill="1" applyBorder="1" applyAlignment="1">
      <alignment horizontal="center" vertical="center"/>
    </xf>
    <xf numFmtId="0" fontId="0" fillId="22" borderId="0" xfId="0" applyFill="1" applyAlignment="1">
      <alignment wrapText="1"/>
    </xf>
    <xf numFmtId="0" fontId="72" fillId="13" borderId="0" xfId="0" applyFont="1" applyFill="1" applyBorder="1" applyAlignment="1">
      <alignment vertical="center" wrapText="1"/>
    </xf>
    <xf numFmtId="0" fontId="95" fillId="22" borderId="0" xfId="0" applyFont="1" applyFill="1" applyAlignment="1">
      <alignment horizontal="right" wrapText="1"/>
    </xf>
    <xf numFmtId="43" fontId="7" fillId="0" borderId="1" xfId="16" applyFont="1" applyBorder="1"/>
    <xf numFmtId="3" fontId="7" fillId="0" borderId="1" xfId="0" applyNumberFormat="1" applyFont="1" applyBorder="1"/>
    <xf numFmtId="0" fontId="97" fillId="0" borderId="54" xfId="0" applyFont="1" applyFill="1" applyBorder="1" applyAlignment="1">
      <alignment vertical="center"/>
    </xf>
    <xf numFmtId="0" fontId="7" fillId="22" borderId="0" xfId="0" applyFont="1" applyFill="1" applyBorder="1" applyAlignment="1">
      <alignment vertical="center"/>
    </xf>
    <xf numFmtId="0" fontId="55" fillId="13" borderId="0" xfId="0" applyFont="1" applyFill="1" applyBorder="1" applyAlignment="1">
      <alignment vertical="top"/>
    </xf>
    <xf numFmtId="0" fontId="52" fillId="9" borderId="0" xfId="0" applyFont="1" applyFill="1" applyAlignment="1">
      <alignment vertical="top"/>
    </xf>
    <xf numFmtId="0" fontId="74" fillId="21" borderId="0" xfId="0" applyFont="1" applyFill="1" applyAlignment="1">
      <alignment vertical="top"/>
    </xf>
    <xf numFmtId="0" fontId="26" fillId="9" borderId="15" xfId="0" applyFont="1" applyFill="1" applyBorder="1" applyAlignment="1">
      <alignment horizontal="center" vertical="top"/>
    </xf>
    <xf numFmtId="0" fontId="26" fillId="9" borderId="19" xfId="0" applyFont="1" applyFill="1" applyBorder="1" applyAlignment="1">
      <alignment horizontal="center" vertical="top"/>
    </xf>
    <xf numFmtId="0" fontId="26" fillId="9" borderId="3" xfId="0" applyFont="1" applyFill="1" applyBorder="1" applyAlignment="1">
      <alignment horizontal="center" vertical="top"/>
    </xf>
    <xf numFmtId="0" fontId="26" fillId="9" borderId="10" xfId="0" applyFont="1" applyFill="1" applyBorder="1" applyAlignment="1">
      <alignment horizontal="center" vertical="top"/>
    </xf>
    <xf numFmtId="0" fontId="49" fillId="13" borderId="0" xfId="0" applyFont="1" applyFill="1" applyBorder="1" applyAlignment="1">
      <alignment vertical="top" wrapText="1"/>
    </xf>
    <xf numFmtId="0" fontId="49" fillId="13" borderId="0" xfId="0" applyFont="1" applyFill="1" applyBorder="1" applyAlignment="1">
      <alignment horizontal="center" vertical="top" wrapText="1"/>
    </xf>
    <xf numFmtId="0" fontId="49" fillId="13" borderId="18" xfId="0" applyFont="1" applyFill="1" applyBorder="1" applyAlignment="1">
      <alignment horizontal="center" vertical="top" wrapText="1"/>
    </xf>
    <xf numFmtId="0" fontId="74" fillId="21" borderId="0" xfId="0" applyFont="1" applyFill="1" applyBorder="1" applyAlignment="1">
      <alignment horizontal="center" vertical="top"/>
    </xf>
    <xf numFmtId="3" fontId="26" fillId="9" borderId="15" xfId="0" applyNumberFormat="1" applyFont="1" applyFill="1" applyBorder="1" applyAlignment="1">
      <alignment horizontal="right" vertical="top"/>
    </xf>
    <xf numFmtId="3" fontId="26" fillId="9" borderId="16" xfId="0" applyNumberFormat="1" applyFont="1" applyFill="1" applyBorder="1" applyAlignment="1">
      <alignment horizontal="right" vertical="top"/>
    </xf>
    <xf numFmtId="3" fontId="26" fillId="9" borderId="17" xfId="0" applyNumberFormat="1" applyFont="1" applyFill="1" applyBorder="1" applyAlignment="1">
      <alignment horizontal="right" vertical="top"/>
    </xf>
    <xf numFmtId="3" fontId="26" fillId="9" borderId="19" xfId="0" applyNumberFormat="1" applyFont="1" applyFill="1" applyBorder="1" applyAlignment="1">
      <alignment horizontal="right" vertical="top"/>
    </xf>
    <xf numFmtId="3" fontId="26" fillId="9" borderId="18" xfId="0" applyNumberFormat="1" applyFont="1" applyFill="1" applyBorder="1" applyAlignment="1">
      <alignment horizontal="right" vertical="top"/>
    </xf>
    <xf numFmtId="3" fontId="26" fillId="9" borderId="0" xfId="0" applyNumberFormat="1" applyFont="1" applyFill="1" applyBorder="1" applyAlignment="1">
      <alignment horizontal="right" vertical="top"/>
    </xf>
    <xf numFmtId="3" fontId="26" fillId="9" borderId="5" xfId="0" applyNumberFormat="1" applyFont="1" applyFill="1" applyBorder="1" applyAlignment="1">
      <alignment horizontal="right" vertical="top"/>
    </xf>
    <xf numFmtId="3" fontId="26" fillId="9" borderId="6" xfId="0" applyNumberFormat="1" applyFont="1" applyFill="1" applyBorder="1" applyAlignment="1">
      <alignment horizontal="right" vertical="top"/>
    </xf>
    <xf numFmtId="3" fontId="26" fillId="9" borderId="4" xfId="0" applyNumberFormat="1" applyFont="1" applyFill="1" applyBorder="1" applyAlignment="1">
      <alignment horizontal="right" vertical="top"/>
    </xf>
    <xf numFmtId="3" fontId="26" fillId="9" borderId="11" xfId="0" applyNumberFormat="1" applyFont="1" applyFill="1" applyBorder="1" applyAlignment="1">
      <alignment horizontal="right" vertical="top"/>
    </xf>
    <xf numFmtId="3" fontId="26" fillId="9" borderId="10" xfId="0" applyNumberFormat="1" applyFont="1" applyFill="1" applyBorder="1" applyAlignment="1">
      <alignment horizontal="right" vertical="top"/>
    </xf>
    <xf numFmtId="3" fontId="10" fillId="0" borderId="53" xfId="0" applyNumberFormat="1" applyFont="1" applyFill="1" applyBorder="1" applyAlignment="1">
      <alignment horizontal="right" vertical="center"/>
    </xf>
    <xf numFmtId="3" fontId="26" fillId="9" borderId="0" xfId="0" applyNumberFormat="1" applyFont="1" applyFill="1" applyAlignment="1">
      <alignment vertical="top"/>
    </xf>
    <xf numFmtId="165" fontId="70" fillId="0" borderId="0" xfId="0" applyNumberFormat="1" applyFont="1" applyFill="1" applyBorder="1"/>
    <xf numFmtId="3" fontId="70" fillId="0" borderId="0" xfId="0" applyNumberFormat="1" applyFont="1" applyFill="1" applyBorder="1" applyAlignment="1">
      <alignment horizontal="right"/>
    </xf>
    <xf numFmtId="9" fontId="70" fillId="0" borderId="0" xfId="0" applyNumberFormat="1" applyFont="1" applyFill="1" applyBorder="1"/>
    <xf numFmtId="0" fontId="55" fillId="22" borderId="0" xfId="0" applyFont="1" applyFill="1" applyBorder="1" applyAlignment="1">
      <alignment vertical="center"/>
    </xf>
    <xf numFmtId="0" fontId="49" fillId="22" borderId="0" xfId="0" applyFont="1" applyFill="1" applyBorder="1" applyAlignment="1">
      <alignment horizontal="center" vertical="center" wrapText="1"/>
    </xf>
    <xf numFmtId="0" fontId="49" fillId="22" borderId="0" xfId="0" applyFont="1" applyFill="1" applyBorder="1" applyAlignment="1">
      <alignment vertical="center" wrapText="1"/>
    </xf>
    <xf numFmtId="0" fontId="72" fillId="22" borderId="0" xfId="4" applyFont="1" applyFill="1" applyBorder="1" applyAlignment="1">
      <alignment horizontal="center" vertical="center" wrapText="1"/>
    </xf>
    <xf numFmtId="3" fontId="52" fillId="9" borderId="19" xfId="0" applyNumberFormat="1" applyFont="1" applyFill="1" applyBorder="1" applyAlignment="1">
      <alignment horizontal="right" vertical="top"/>
    </xf>
    <xf numFmtId="3" fontId="52" fillId="9" borderId="18" xfId="0" applyNumberFormat="1" applyFont="1" applyFill="1" applyBorder="1" applyAlignment="1">
      <alignment horizontal="right" vertical="top"/>
    </xf>
    <xf numFmtId="0" fontId="50" fillId="34" borderId="0" xfId="0" applyFont="1" applyFill="1" applyBorder="1" applyAlignment="1">
      <alignment horizontal="right" vertical="top"/>
    </xf>
    <xf numFmtId="0" fontId="71" fillId="34" borderId="0" xfId="0" applyFont="1" applyFill="1" applyBorder="1" applyAlignment="1">
      <alignment horizontal="right" vertical="top"/>
    </xf>
    <xf numFmtId="0" fontId="71" fillId="35" borderId="0" xfId="0" applyFont="1" applyFill="1" applyBorder="1" applyAlignment="1">
      <alignment horizontal="right" vertical="top"/>
    </xf>
    <xf numFmtId="3" fontId="7" fillId="35" borderId="0" xfId="0" applyNumberFormat="1" applyFont="1" applyFill="1" applyBorder="1" applyAlignment="1">
      <alignment horizontal="right" vertical="top"/>
    </xf>
    <xf numFmtId="3" fontId="50" fillId="35" borderId="0" xfId="0" applyNumberFormat="1" applyFont="1" applyFill="1" applyBorder="1" applyAlignment="1">
      <alignment horizontal="right" vertical="top"/>
    </xf>
    <xf numFmtId="0" fontId="7" fillId="34" borderId="0" xfId="0" applyFont="1" applyFill="1" applyBorder="1" applyAlignment="1">
      <alignment horizontal="left" vertical="top"/>
    </xf>
    <xf numFmtId="3" fontId="0" fillId="34" borderId="0" xfId="0" applyNumberFormat="1" applyFont="1" applyFill="1" applyBorder="1" applyAlignment="1">
      <alignment horizontal="right" vertical="top"/>
    </xf>
    <xf numFmtId="0" fontId="0" fillId="9" borderId="0" xfId="0" applyFont="1" applyFill="1" applyBorder="1" applyAlignment="1">
      <alignment horizontal="left" vertical="top"/>
    </xf>
    <xf numFmtId="0" fontId="7" fillId="9" borderId="0" xfId="0" applyFont="1" applyFill="1" applyBorder="1" applyAlignment="1">
      <alignment horizontal="left" vertical="top"/>
    </xf>
    <xf numFmtId="0" fontId="7" fillId="9" borderId="0" xfId="0" applyFont="1" applyFill="1" applyBorder="1" applyAlignment="1">
      <alignment horizontal="left" vertical="top" wrapText="1"/>
    </xf>
    <xf numFmtId="0" fontId="50" fillId="9" borderId="0" xfId="0" applyFont="1" applyFill="1" applyBorder="1" applyAlignment="1">
      <alignment horizontal="left" vertical="top"/>
    </xf>
    <xf numFmtId="0" fontId="0" fillId="9" borderId="0" xfId="0" applyFont="1" applyFill="1" applyBorder="1" applyAlignment="1">
      <alignment horizontal="right" vertical="top"/>
    </xf>
    <xf numFmtId="3" fontId="93" fillId="0" borderId="45" xfId="0" applyNumberFormat="1" applyFont="1" applyFill="1" applyBorder="1" applyAlignment="1">
      <alignment horizontal="center"/>
    </xf>
    <xf numFmtId="3" fontId="93" fillId="0" borderId="0" xfId="0" applyNumberFormat="1" applyFont="1" applyFill="1" applyBorder="1" applyAlignment="1">
      <alignment horizontal="center"/>
    </xf>
    <xf numFmtId="0" fontId="93" fillId="0" borderId="0" xfId="0" applyFont="1" applyFill="1" applyBorder="1" applyAlignment="1">
      <alignment horizontal="center"/>
    </xf>
    <xf numFmtId="3" fontId="93" fillId="0" borderId="46" xfId="0" applyNumberFormat="1" applyFont="1" applyFill="1" applyBorder="1" applyAlignment="1">
      <alignment horizontal="center"/>
    </xf>
    <xf numFmtId="0" fontId="93" fillId="0" borderId="46" xfId="0" applyFont="1" applyFill="1" applyBorder="1" applyAlignment="1">
      <alignment horizontal="center"/>
    </xf>
    <xf numFmtId="3" fontId="93" fillId="0" borderId="0" xfId="0" applyNumberFormat="1" applyFont="1" applyFill="1"/>
    <xf numFmtId="3" fontId="70" fillId="34" borderId="0" xfId="0" applyNumberFormat="1" applyFont="1" applyFill="1" applyBorder="1" applyAlignment="1">
      <alignment horizontal="right" vertical="top"/>
    </xf>
    <xf numFmtId="3" fontId="103" fillId="34" borderId="0" xfId="0" applyNumberFormat="1" applyFont="1" applyFill="1" applyBorder="1" applyAlignment="1">
      <alignment horizontal="right" vertical="top"/>
    </xf>
    <xf numFmtId="0" fontId="88" fillId="9" borderId="43" xfId="0" applyFont="1" applyFill="1" applyBorder="1" applyAlignment="1">
      <alignment horizontal="left"/>
    </xf>
    <xf numFmtId="0" fontId="50" fillId="35" borderId="0" xfId="0" applyFont="1" applyFill="1" applyBorder="1" applyAlignment="1">
      <alignment horizontal="left" vertical="top"/>
    </xf>
    <xf numFmtId="0" fontId="6" fillId="9" borderId="0" xfId="0" applyFont="1" applyFill="1"/>
    <xf numFmtId="0" fontId="6" fillId="9" borderId="8" xfId="0" applyFont="1" applyFill="1" applyBorder="1" applyAlignment="1">
      <alignment horizontal="center" vertical="center"/>
    </xf>
    <xf numFmtId="0" fontId="6" fillId="9" borderId="0" xfId="0" applyFont="1" applyFill="1" applyAlignment="1">
      <alignment horizontal="center"/>
    </xf>
    <xf numFmtId="3" fontId="64" fillId="0" borderId="0" xfId="0" applyNumberFormat="1" applyFont="1" applyFill="1" applyAlignment="1">
      <alignment vertical="top"/>
    </xf>
    <xf numFmtId="0" fontId="5" fillId="9" borderId="0" xfId="0" applyFont="1" applyFill="1" applyAlignment="1">
      <alignment horizontal="right"/>
    </xf>
    <xf numFmtId="0" fontId="4" fillId="22" borderId="0" xfId="0" applyFont="1" applyFill="1" applyBorder="1"/>
    <xf numFmtId="0" fontId="4" fillId="22" borderId="0" xfId="0" applyFont="1" applyFill="1" applyAlignment="1">
      <alignment vertical="center"/>
    </xf>
    <xf numFmtId="0" fontId="83" fillId="22" borderId="17" xfId="0" applyFont="1" applyFill="1" applyBorder="1" applyAlignment="1"/>
    <xf numFmtId="0" fontId="4" fillId="9" borderId="0" xfId="0" applyFont="1" applyFill="1" applyAlignment="1">
      <alignment vertical="top"/>
    </xf>
    <xf numFmtId="0" fontId="71" fillId="9" borderId="0" xfId="0" applyFont="1" applyFill="1" applyAlignment="1">
      <alignment horizontal="right" vertical="center"/>
    </xf>
    <xf numFmtId="0" fontId="11" fillId="12" borderId="0" xfId="0" applyFont="1" applyFill="1" applyBorder="1" applyAlignment="1">
      <alignment vertical="center"/>
    </xf>
    <xf numFmtId="0" fontId="26" fillId="22" borderId="57" xfId="0" applyFont="1" applyFill="1" applyBorder="1" applyAlignment="1">
      <alignment vertical="center"/>
    </xf>
    <xf numFmtId="0" fontId="26" fillId="22" borderId="58" xfId="0" applyFont="1" applyFill="1" applyBorder="1" applyAlignment="1">
      <alignment horizontal="right" vertical="center" indent="2"/>
    </xf>
    <xf numFmtId="0" fontId="7" fillId="22" borderId="59" xfId="0" applyFont="1" applyFill="1" applyBorder="1" applyAlignment="1">
      <alignment vertical="center"/>
    </xf>
    <xf numFmtId="0" fontId="11" fillId="22" borderId="60" xfId="0" applyFont="1" applyFill="1" applyBorder="1" applyAlignment="1">
      <alignment vertical="center"/>
    </xf>
    <xf numFmtId="0" fontId="4" fillId="22" borderId="0" xfId="0" applyFont="1" applyFill="1" applyBorder="1" applyAlignment="1">
      <alignment vertical="center"/>
    </xf>
    <xf numFmtId="0" fontId="26" fillId="11" borderId="1" xfId="0" applyFont="1" applyFill="1" applyBorder="1" applyAlignment="1">
      <alignment vertical="center"/>
    </xf>
    <xf numFmtId="0" fontId="26" fillId="22" borderId="16" xfId="0" applyFont="1" applyFill="1" applyBorder="1" applyAlignment="1">
      <alignment vertical="top"/>
    </xf>
    <xf numFmtId="3" fontId="26" fillId="11" borderId="17" xfId="0" applyNumberFormat="1" applyFont="1" applyFill="1" applyBorder="1" applyAlignment="1">
      <alignment horizontal="center" vertical="center"/>
    </xf>
    <xf numFmtId="3" fontId="26" fillId="11" borderId="16" xfId="0" applyNumberFormat="1" applyFont="1" applyFill="1" applyBorder="1" applyAlignment="1">
      <alignment horizontal="center" vertical="center"/>
    </xf>
    <xf numFmtId="3" fontId="26" fillId="11" borderId="0" xfId="0" applyNumberFormat="1" applyFont="1" applyFill="1" applyBorder="1" applyAlignment="1">
      <alignment horizontal="center" vertical="center"/>
    </xf>
    <xf numFmtId="3" fontId="26" fillId="11" borderId="18" xfId="0" applyNumberFormat="1" applyFont="1" applyFill="1" applyBorder="1" applyAlignment="1">
      <alignment horizontal="center" vertical="center"/>
    </xf>
    <xf numFmtId="3" fontId="52" fillId="11" borderId="0" xfId="0" applyNumberFormat="1" applyFont="1" applyFill="1" applyBorder="1" applyAlignment="1">
      <alignment horizontal="center" vertical="center"/>
    </xf>
    <xf numFmtId="3" fontId="52" fillId="11" borderId="18" xfId="0" applyNumberFormat="1" applyFont="1" applyFill="1" applyBorder="1" applyAlignment="1">
      <alignment horizontal="center" vertical="center"/>
    </xf>
    <xf numFmtId="0" fontId="49" fillId="13" borderId="2" xfId="0" quotePrefix="1" applyFont="1" applyFill="1" applyBorder="1" applyAlignment="1">
      <alignment horizontal="center" vertical="center" wrapText="1"/>
    </xf>
    <xf numFmtId="0" fontId="31" fillId="3" borderId="11" xfId="0" quotePrefix="1" applyFont="1" applyFill="1" applyBorder="1" applyAlignment="1">
      <alignment horizontal="center" vertical="center" wrapText="1"/>
    </xf>
    <xf numFmtId="0" fontId="49" fillId="13" borderId="2" xfId="0" quotePrefix="1" applyFont="1" applyFill="1" applyBorder="1" applyAlignment="1">
      <alignment horizontal="center" vertical="top" wrapText="1"/>
    </xf>
    <xf numFmtId="0" fontId="31" fillId="3" borderId="2" xfId="0" quotePrefix="1" applyFont="1" applyFill="1" applyBorder="1" applyAlignment="1">
      <alignment horizontal="center" vertical="center" wrapText="1"/>
    </xf>
    <xf numFmtId="0" fontId="27" fillId="36" borderId="1" xfId="0" applyFont="1" applyFill="1" applyBorder="1" applyAlignment="1">
      <alignment vertical="center"/>
    </xf>
    <xf numFmtId="3" fontId="26" fillId="36" borderId="1" xfId="0" applyNumberFormat="1" applyFont="1" applyFill="1" applyBorder="1" applyAlignment="1">
      <alignment horizontal="right" vertical="center"/>
    </xf>
    <xf numFmtId="3" fontId="65" fillId="36" borderId="1" xfId="0" applyNumberFormat="1" applyFont="1" applyFill="1" applyBorder="1" applyAlignment="1">
      <alignment horizontal="right" vertical="center"/>
    </xf>
    <xf numFmtId="0" fontId="18" fillId="0" borderId="18" xfId="0" applyFont="1" applyFill="1" applyBorder="1" applyAlignment="1">
      <alignment vertical="top"/>
    </xf>
    <xf numFmtId="0" fontId="3" fillId="0" borderId="3" xfId="0" applyFont="1" applyFill="1" applyBorder="1" applyAlignment="1">
      <alignment horizontal="center" vertical="center"/>
    </xf>
    <xf numFmtId="0" fontId="3" fillId="0" borderId="1" xfId="0" applyFont="1" applyFill="1" applyBorder="1" applyAlignment="1">
      <alignment horizontal="left" vertical="top"/>
    </xf>
    <xf numFmtId="0" fontId="3" fillId="9" borderId="0" xfId="0" applyFont="1" applyFill="1" applyAlignment="1">
      <alignment vertical="center"/>
    </xf>
    <xf numFmtId="0" fontId="49" fillId="24" borderId="2" xfId="0" applyFont="1" applyFill="1" applyBorder="1" applyAlignment="1">
      <alignment horizontal="left" vertical="center"/>
    </xf>
    <xf numFmtId="0" fontId="3" fillId="12" borderId="0" xfId="0" applyFont="1" applyFill="1" applyAlignment="1">
      <alignment vertical="center"/>
    </xf>
    <xf numFmtId="3" fontId="52" fillId="25" borderId="1" xfId="0" applyNumberFormat="1" applyFont="1" applyFill="1" applyBorder="1" applyAlignment="1">
      <alignment horizontal="right" vertical="center"/>
    </xf>
    <xf numFmtId="3" fontId="52" fillId="25" borderId="1" xfId="0" applyNumberFormat="1" applyFont="1" applyFill="1" applyBorder="1" applyAlignment="1">
      <alignment vertical="center"/>
    </xf>
    <xf numFmtId="3" fontId="18" fillId="36" borderId="1" xfId="0" applyNumberFormat="1" applyFont="1" applyFill="1" applyBorder="1" applyAlignment="1">
      <alignment horizontal="right" vertical="center"/>
    </xf>
    <xf numFmtId="0" fontId="0" fillId="9" borderId="0" xfId="0" applyFont="1" applyFill="1" applyAlignment="1">
      <alignment horizontal="left" vertical="center"/>
    </xf>
    <xf numFmtId="0" fontId="2" fillId="9" borderId="0" xfId="0" applyFont="1" applyFill="1" applyAlignment="1">
      <alignment horizontal="right"/>
    </xf>
    <xf numFmtId="3" fontId="70" fillId="0" borderId="0" xfId="0" applyNumberFormat="1" applyFont="1"/>
    <xf numFmtId="0" fontId="2" fillId="9" borderId="0" xfId="0" applyFont="1" applyFill="1" applyBorder="1"/>
    <xf numFmtId="0" fontId="26" fillId="9" borderId="17" xfId="0" applyFont="1" applyFill="1" applyBorder="1" applyAlignment="1">
      <alignment horizontal="left" vertical="top"/>
    </xf>
    <xf numFmtId="0" fontId="26" fillId="9" borderId="0" xfId="0" applyFont="1" applyFill="1" applyBorder="1" applyAlignment="1">
      <alignment horizontal="left" vertical="top"/>
    </xf>
    <xf numFmtId="3" fontId="26" fillId="0" borderId="61" xfId="0" applyNumberFormat="1" applyFont="1" applyFill="1" applyBorder="1" applyAlignment="1">
      <alignment horizontal="right" vertical="center"/>
    </xf>
    <xf numFmtId="3" fontId="26" fillId="19" borderId="61" xfId="0" applyNumberFormat="1" applyFont="1" applyFill="1" applyBorder="1" applyAlignment="1">
      <alignment horizontal="center" vertical="center"/>
    </xf>
    <xf numFmtId="3" fontId="26" fillId="19" borderId="62" xfId="0" applyNumberFormat="1" applyFont="1" applyFill="1" applyBorder="1" applyAlignment="1">
      <alignment horizontal="center" vertical="center"/>
    </xf>
    <xf numFmtId="3" fontId="52" fillId="19" borderId="61" xfId="0" applyNumberFormat="1" applyFont="1" applyFill="1" applyBorder="1" applyAlignment="1">
      <alignment horizontal="center" vertical="center"/>
    </xf>
    <xf numFmtId="3" fontId="52" fillId="19" borderId="62" xfId="0" applyNumberFormat="1" applyFont="1" applyFill="1" applyBorder="1" applyAlignment="1">
      <alignment horizontal="center" vertical="center"/>
    </xf>
    <xf numFmtId="3" fontId="26" fillId="0" borderId="63" xfId="0" applyNumberFormat="1" applyFont="1" applyFill="1" applyBorder="1" applyAlignment="1">
      <alignment horizontal="right" vertical="center"/>
    </xf>
    <xf numFmtId="0" fontId="49" fillId="13" borderId="18" xfId="0" applyFont="1" applyFill="1" applyBorder="1" applyAlignment="1">
      <alignment vertical="center" wrapText="1"/>
    </xf>
    <xf numFmtId="0" fontId="49" fillId="13" borderId="19" xfId="0" applyFont="1" applyFill="1" applyBorder="1" applyAlignment="1">
      <alignment vertical="center" wrapText="1"/>
    </xf>
    <xf numFmtId="3" fontId="26" fillId="9" borderId="61" xfId="0" applyNumberFormat="1" applyFont="1" applyFill="1" applyBorder="1" applyAlignment="1">
      <alignment horizontal="right" vertical="center"/>
    </xf>
    <xf numFmtId="0" fontId="83" fillId="27" borderId="15" xfId="0" applyFont="1" applyFill="1" applyBorder="1" applyAlignment="1">
      <alignment horizontal="center" vertical="center"/>
    </xf>
    <xf numFmtId="0" fontId="74" fillId="24" borderId="15" xfId="0" applyFont="1" applyFill="1" applyBorder="1" applyAlignment="1">
      <alignment horizontal="center" vertical="center"/>
    </xf>
    <xf numFmtId="0" fontId="74" fillId="18" borderId="15" xfId="0" applyFont="1" applyFill="1" applyBorder="1" applyAlignment="1">
      <alignment horizontal="center" vertical="center"/>
    </xf>
    <xf numFmtId="0" fontId="74" fillId="26" borderId="15" xfId="0" applyFont="1" applyFill="1" applyBorder="1" applyAlignment="1">
      <alignment horizontal="center" vertical="center"/>
    </xf>
    <xf numFmtId="0" fontId="74" fillId="23" borderId="15" xfId="0" applyFont="1" applyFill="1" applyBorder="1" applyAlignment="1">
      <alignment horizontal="center" vertical="center"/>
    </xf>
    <xf numFmtId="3" fontId="75" fillId="9" borderId="0" xfId="0" applyNumberFormat="1" applyFont="1" applyFill="1" applyBorder="1" applyAlignment="1">
      <alignment horizontal="right"/>
    </xf>
    <xf numFmtId="0" fontId="26" fillId="9" borderId="63" xfId="0" applyFont="1" applyFill="1" applyBorder="1"/>
    <xf numFmtId="0" fontId="26" fillId="9" borderId="61" xfId="0" applyFont="1" applyFill="1" applyBorder="1"/>
    <xf numFmtId="0" fontId="26" fillId="9" borderId="53" xfId="0" applyFont="1" applyFill="1" applyBorder="1"/>
    <xf numFmtId="3" fontId="26" fillId="9" borderId="53" xfId="0" applyNumberFormat="1" applyFont="1" applyFill="1" applyBorder="1" applyAlignment="1">
      <alignment horizontal="right" vertical="center"/>
    </xf>
    <xf numFmtId="3" fontId="26" fillId="9" borderId="63" xfId="0" applyNumberFormat="1" applyFont="1" applyFill="1" applyBorder="1" applyAlignment="1">
      <alignment horizontal="right" vertical="center"/>
    </xf>
    <xf numFmtId="0" fontId="26" fillId="9" borderId="62" xfId="0" applyFont="1" applyFill="1" applyBorder="1"/>
    <xf numFmtId="3" fontId="26" fillId="9" borderId="62" xfId="0" applyNumberFormat="1" applyFont="1" applyFill="1" applyBorder="1" applyAlignment="1">
      <alignment horizontal="right" vertical="center"/>
    </xf>
    <xf numFmtId="0" fontId="83" fillId="29" borderId="15" xfId="0" applyFont="1" applyFill="1" applyBorder="1" applyAlignment="1">
      <alignment horizontal="center" vertical="center"/>
    </xf>
    <xf numFmtId="0" fontId="74" fillId="28" borderId="15" xfId="0" applyFont="1" applyFill="1" applyBorder="1" applyAlignment="1">
      <alignment horizontal="center" vertical="center"/>
    </xf>
    <xf numFmtId="0" fontId="83" fillId="15" borderId="7" xfId="0" applyFont="1" applyFill="1" applyBorder="1" applyAlignment="1">
      <alignment horizontal="center" vertical="center"/>
    </xf>
    <xf numFmtId="0" fontId="49" fillId="9" borderId="0" xfId="0" applyFont="1" applyFill="1" applyBorder="1" applyAlignment="1">
      <alignment vertical="center" wrapText="1"/>
    </xf>
    <xf numFmtId="0" fontId="49" fillId="21" borderId="19" xfId="0" applyFont="1" applyFill="1" applyBorder="1"/>
    <xf numFmtId="0" fontId="60" fillId="21" borderId="0" xfId="0" applyFont="1" applyFill="1"/>
    <xf numFmtId="0" fontId="49" fillId="21" borderId="18" xfId="0" applyFont="1" applyFill="1" applyBorder="1" applyAlignment="1">
      <alignment horizontal="center" vertical="center"/>
    </xf>
    <xf numFmtId="0" fontId="49" fillId="21" borderId="0" xfId="0" applyFont="1" applyFill="1" applyBorder="1"/>
    <xf numFmtId="0" fontId="49" fillId="21" borderId="18" xfId="0" applyFont="1" applyFill="1" applyBorder="1"/>
    <xf numFmtId="0" fontId="49" fillId="21" borderId="8" xfId="0" applyFont="1" applyFill="1" applyBorder="1"/>
    <xf numFmtId="0" fontId="49" fillId="9" borderId="0" xfId="0" applyFont="1" applyFill="1"/>
    <xf numFmtId="0" fontId="26" fillId="22" borderId="61" xfId="0" applyFont="1" applyFill="1" applyBorder="1" applyAlignment="1">
      <alignment vertical="center"/>
    </xf>
    <xf numFmtId="0" fontId="26" fillId="22" borderId="62" xfId="0" applyFont="1" applyFill="1" applyBorder="1" applyAlignment="1">
      <alignment vertical="center"/>
    </xf>
    <xf numFmtId="0" fontId="13" fillId="17" borderId="7" xfId="0" applyFont="1" applyFill="1" applyBorder="1" applyAlignment="1">
      <alignment vertical="top"/>
    </xf>
    <xf numFmtId="0" fontId="13" fillId="17" borderId="8" xfId="0" applyFont="1" applyFill="1" applyBorder="1" applyAlignment="1">
      <alignment vertical="top"/>
    </xf>
    <xf numFmtId="0" fontId="13" fillId="17" borderId="53" xfId="0" applyFont="1" applyFill="1" applyBorder="1" applyAlignment="1">
      <alignment vertical="top"/>
    </xf>
    <xf numFmtId="0" fontId="13" fillId="17" borderId="7" xfId="0" applyFont="1" applyFill="1" applyBorder="1" applyAlignment="1">
      <alignment vertical="top" wrapText="1"/>
    </xf>
    <xf numFmtId="0" fontId="13" fillId="17" borderId="8" xfId="0" applyFont="1" applyFill="1" applyBorder="1" applyAlignment="1">
      <alignment vertical="top" wrapText="1"/>
    </xf>
    <xf numFmtId="0" fontId="13" fillId="17" borderId="53" xfId="0" applyFont="1" applyFill="1" applyBorder="1" applyAlignment="1">
      <alignment vertical="top" wrapText="1"/>
    </xf>
    <xf numFmtId="0" fontId="57" fillId="4" borderId="15" xfId="4" applyFont="1" applyFill="1" applyBorder="1" applyAlignment="1">
      <alignment horizontal="left" vertical="center" wrapText="1"/>
    </xf>
    <xf numFmtId="0" fontId="0" fillId="0" borderId="16" xfId="0" applyBorder="1"/>
    <xf numFmtId="0" fontId="57" fillId="4" borderId="15" xfId="4" applyFont="1" applyFill="1" applyBorder="1" applyAlignment="1">
      <alignment horizontal="center" vertical="center" wrapText="1"/>
    </xf>
    <xf numFmtId="0" fontId="57" fillId="4" borderId="16" xfId="4" applyFont="1" applyFill="1" applyBorder="1" applyAlignment="1">
      <alignment horizontal="center" vertical="center" wrapText="1"/>
    </xf>
    <xf numFmtId="0" fontId="26" fillId="0" borderId="7" xfId="0" applyFont="1" applyFill="1" applyBorder="1" applyAlignment="1">
      <alignment horizontal="left" vertical="top" wrapText="1"/>
    </xf>
    <xf numFmtId="0" fontId="26" fillId="0" borderId="2" xfId="0" applyFont="1" applyFill="1" applyBorder="1" applyAlignment="1">
      <alignment horizontal="left" vertical="top" wrapText="1"/>
    </xf>
    <xf numFmtId="0" fontId="59" fillId="8" borderId="17" xfId="0" applyFont="1" applyFill="1" applyBorder="1"/>
    <xf numFmtId="0" fontId="59" fillId="8" borderId="16" xfId="0" applyFont="1" applyFill="1" applyBorder="1"/>
    <xf numFmtId="0" fontId="60" fillId="13" borderId="15" xfId="0" applyFont="1" applyFill="1" applyBorder="1" applyAlignment="1">
      <alignment horizontal="left" vertical="center" wrapText="1"/>
    </xf>
    <xf numFmtId="0" fontId="0" fillId="0" borderId="17" xfId="0" applyBorder="1"/>
    <xf numFmtId="0" fontId="60" fillId="13" borderId="17" xfId="0" applyFont="1" applyFill="1" applyBorder="1" applyAlignment="1">
      <alignment horizontal="center" vertical="center" wrapText="1"/>
    </xf>
    <xf numFmtId="0" fontId="60" fillId="13" borderId="16" xfId="0" applyFont="1" applyFill="1" applyBorder="1" applyAlignment="1">
      <alignment horizontal="center" vertical="center"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7" xfId="0" applyFont="1" applyFill="1" applyBorder="1" applyAlignment="1">
      <alignment horizontal="left" wrapText="1"/>
    </xf>
    <xf numFmtId="0" fontId="17" fillId="0" borderId="2" xfId="0" applyFont="1" applyFill="1" applyBorder="1" applyAlignment="1">
      <alignment horizontal="left" wrapText="1"/>
    </xf>
    <xf numFmtId="0" fontId="60" fillId="28" borderId="15" xfId="0" applyFont="1" applyFill="1" applyBorder="1" applyAlignment="1">
      <alignment horizontal="left" vertical="center"/>
    </xf>
    <xf numFmtId="0" fontId="0" fillId="28" borderId="17" xfId="0" applyFill="1" applyBorder="1"/>
    <xf numFmtId="0" fontId="0" fillId="28" borderId="16" xfId="0" applyFill="1" applyBorder="1"/>
    <xf numFmtId="0" fontId="18" fillId="0" borderId="7" xfId="0" applyFont="1" applyFill="1" applyBorder="1" applyAlignment="1">
      <alignment horizontal="left" vertical="top" wrapText="1"/>
    </xf>
    <xf numFmtId="0" fontId="18" fillId="0" borderId="2" xfId="0" applyFont="1" applyFill="1" applyBorder="1" applyAlignment="1">
      <alignment horizontal="left" vertical="top" wrapText="1"/>
    </xf>
    <xf numFmtId="0" fontId="59" fillId="27" borderId="17" xfId="0" applyFont="1" applyFill="1" applyBorder="1"/>
    <xf numFmtId="0" fontId="59" fillId="27" borderId="16" xfId="0" applyFont="1" applyFill="1" applyBorder="1"/>
    <xf numFmtId="0" fontId="18" fillId="0" borderId="8" xfId="0" applyFont="1" applyFill="1" applyBorder="1" applyAlignment="1">
      <alignment horizontal="left" vertical="top" wrapText="1"/>
    </xf>
    <xf numFmtId="0" fontId="60" fillId="24" borderId="15" xfId="0" applyFont="1" applyFill="1" applyBorder="1" applyAlignment="1">
      <alignment horizontal="left" vertical="center"/>
    </xf>
    <xf numFmtId="0" fontId="60" fillId="24" borderId="17" xfId="0" applyFont="1" applyFill="1" applyBorder="1" applyAlignment="1">
      <alignment horizontal="left" vertical="center"/>
    </xf>
    <xf numFmtId="0" fontId="60" fillId="24" borderId="16" xfId="0" applyFont="1" applyFill="1" applyBorder="1" applyAlignment="1">
      <alignment horizontal="left" vertical="center"/>
    </xf>
    <xf numFmtId="0" fontId="65" fillId="0" borderId="7" xfId="0" applyFont="1" applyFill="1" applyBorder="1" applyAlignment="1">
      <alignment horizontal="left" vertical="top" wrapText="1"/>
    </xf>
    <xf numFmtId="0" fontId="65" fillId="0" borderId="8" xfId="0" applyFont="1" applyFill="1" applyBorder="1" applyAlignment="1">
      <alignment horizontal="left" vertical="top" wrapText="1"/>
    </xf>
    <xf numFmtId="0" fontId="65" fillId="0" borderId="2" xfId="0" applyFont="1" applyFill="1" applyBorder="1" applyAlignment="1">
      <alignment horizontal="left" vertical="top" wrapText="1"/>
    </xf>
    <xf numFmtId="0" fontId="44" fillId="4" borderId="15" xfId="4" applyFont="1" applyFill="1" applyBorder="1" applyAlignment="1">
      <alignment horizontal="left" vertical="center" wrapText="1"/>
    </xf>
    <xf numFmtId="0" fontId="65" fillId="0" borderId="20" xfId="0" applyFont="1" applyFill="1" applyBorder="1" applyAlignment="1">
      <alignment horizontal="center" vertical="top"/>
    </xf>
    <xf numFmtId="0" fontId="65" fillId="0" borderId="18" xfId="0" applyFont="1" applyFill="1" applyBorder="1" applyAlignment="1">
      <alignment horizontal="center" vertical="top"/>
    </xf>
    <xf numFmtId="0" fontId="65" fillId="0" borderId="11" xfId="0" applyFont="1" applyFill="1" applyBorder="1" applyAlignment="1">
      <alignment horizontal="center" vertical="top"/>
    </xf>
    <xf numFmtId="0" fontId="0" fillId="7" borderId="17" xfId="0" applyFill="1" applyBorder="1"/>
    <xf numFmtId="0" fontId="0" fillId="7" borderId="16" xfId="0" applyFill="1" applyBorder="1"/>
    <xf numFmtId="0" fontId="43" fillId="3" borderId="15" xfId="0" applyFont="1" applyFill="1" applyBorder="1" applyAlignment="1">
      <alignment horizontal="left" vertical="center" wrapText="1"/>
    </xf>
    <xf numFmtId="0" fontId="0" fillId="26" borderId="17" xfId="0" applyFill="1" applyBorder="1"/>
    <xf numFmtId="0" fontId="0" fillId="26" borderId="16" xfId="0" applyFill="1" applyBorder="1"/>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2" xfId="0" applyFont="1" applyFill="1" applyBorder="1" applyAlignment="1">
      <alignment horizontal="left" vertical="top" wrapText="1"/>
    </xf>
    <xf numFmtId="0" fontId="0" fillId="23" borderId="17" xfId="0" applyFill="1" applyBorder="1"/>
    <xf numFmtId="0" fontId="0" fillId="23" borderId="16" xfId="0" applyFill="1" applyBorder="1"/>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3" fillId="0" borderId="2" xfId="0" applyFont="1" applyFill="1" applyBorder="1" applyAlignment="1">
      <alignment horizontal="center" vertical="top"/>
    </xf>
    <xf numFmtId="0" fontId="13" fillId="0" borderId="7" xfId="0" applyFont="1" applyFill="1" applyBorder="1" applyAlignment="1">
      <alignment horizontal="left" vertical="top"/>
    </xf>
    <xf numFmtId="0" fontId="13" fillId="0" borderId="8" xfId="0" applyFont="1" applyFill="1" applyBorder="1" applyAlignment="1">
      <alignment horizontal="left" vertical="top"/>
    </xf>
    <xf numFmtId="0" fontId="13" fillId="0" borderId="2" xfId="0" applyFont="1" applyFill="1" applyBorder="1" applyAlignment="1">
      <alignment horizontal="left" vertical="top"/>
    </xf>
    <xf numFmtId="0" fontId="49" fillId="18" borderId="0" xfId="0" applyFont="1" applyFill="1" applyBorder="1" applyAlignment="1">
      <alignment horizontal="center" vertical="center"/>
    </xf>
    <xf numFmtId="0" fontId="64" fillId="15" borderId="17" xfId="0" applyFont="1" applyFill="1" applyBorder="1" applyAlignment="1">
      <alignment horizontal="center" vertical="center" wrapText="1"/>
    </xf>
    <xf numFmtId="0" fontId="64" fillId="15" borderId="16" xfId="0" applyFont="1" applyFill="1" applyBorder="1" applyAlignment="1">
      <alignment horizontal="center" vertical="center" wrapText="1"/>
    </xf>
    <xf numFmtId="0" fontId="60" fillId="13" borderId="15" xfId="0" applyFont="1" applyFill="1" applyBorder="1" applyAlignment="1">
      <alignment horizontal="center" vertical="center" wrapText="1"/>
    </xf>
    <xf numFmtId="0" fontId="102" fillId="26" borderId="17" xfId="0" applyFont="1" applyFill="1" applyBorder="1" applyAlignment="1">
      <alignment horizontal="center" vertical="center"/>
    </xf>
    <xf numFmtId="0" fontId="102" fillId="23" borderId="15" xfId="0" applyFont="1" applyFill="1" applyBorder="1" applyAlignment="1">
      <alignment horizontal="center" vertical="center"/>
    </xf>
    <xf numFmtId="0" fontId="102" fillId="23" borderId="17" xfId="0" applyFont="1" applyFill="1" applyBorder="1" applyAlignment="1">
      <alignment horizontal="center" vertical="center"/>
    </xf>
    <xf numFmtId="0" fontId="102" fillId="23" borderId="16" xfId="0" applyFont="1" applyFill="1" applyBorder="1" applyAlignment="1">
      <alignment horizontal="center" vertical="center"/>
    </xf>
    <xf numFmtId="0" fontId="26" fillId="9" borderId="7" xfId="0" applyFont="1" applyFill="1" applyBorder="1" applyAlignment="1">
      <alignment horizontal="left" vertical="top" wrapText="1"/>
    </xf>
    <xf numFmtId="0" fontId="26" fillId="9" borderId="8" xfId="0" applyFont="1" applyFill="1" applyBorder="1" applyAlignment="1">
      <alignment horizontal="left" vertical="top" wrapText="1"/>
    </xf>
    <xf numFmtId="0" fontId="26" fillId="9" borderId="2" xfId="0" applyFont="1" applyFill="1" applyBorder="1" applyAlignment="1">
      <alignment horizontal="left" vertical="top" wrapText="1"/>
    </xf>
    <xf numFmtId="0" fontId="83" fillId="9" borderId="7" xfId="0" applyFont="1" applyFill="1" applyBorder="1" applyAlignment="1">
      <alignment horizontal="center" vertical="center" wrapText="1"/>
    </xf>
    <xf numFmtId="0" fontId="83" fillId="9" borderId="8" xfId="0" applyFont="1" applyFill="1" applyBorder="1" applyAlignment="1">
      <alignment horizontal="center" vertical="center" wrapText="1"/>
    </xf>
    <xf numFmtId="0" fontId="83" fillId="27" borderId="15" xfId="0" applyFont="1" applyFill="1" applyBorder="1" applyAlignment="1">
      <alignment horizontal="center" vertical="center"/>
    </xf>
    <xf numFmtId="0" fontId="83" fillId="27" borderId="16" xfId="0" applyFont="1" applyFill="1" applyBorder="1" applyAlignment="1">
      <alignment horizontal="center" vertical="center"/>
    </xf>
    <xf numFmtId="0" fontId="74" fillId="24" borderId="17" xfId="0" applyFont="1" applyFill="1" applyBorder="1" applyAlignment="1">
      <alignment horizontal="center" vertical="center"/>
    </xf>
    <xf numFmtId="0" fontId="74" fillId="18" borderId="15" xfId="0" applyFont="1" applyFill="1" applyBorder="1" applyAlignment="1">
      <alignment horizontal="center" vertical="center"/>
    </xf>
    <xf numFmtId="0" fontId="74" fillId="18" borderId="16" xfId="0" applyFont="1" applyFill="1" applyBorder="1" applyAlignment="1">
      <alignment horizontal="center" vertical="center"/>
    </xf>
    <xf numFmtId="0" fontId="74" fillId="26" borderId="17" xfId="0" applyFont="1" applyFill="1" applyBorder="1" applyAlignment="1">
      <alignment horizontal="center" vertical="center"/>
    </xf>
    <xf numFmtId="0" fontId="74" fillId="23" borderId="15" xfId="0" applyFont="1" applyFill="1" applyBorder="1" applyAlignment="1">
      <alignment horizontal="center" vertical="center"/>
    </xf>
    <xf numFmtId="0" fontId="74" fillId="23" borderId="16" xfId="0" applyFont="1" applyFill="1" applyBorder="1" applyAlignment="1">
      <alignment horizontal="center" vertical="center"/>
    </xf>
    <xf numFmtId="0" fontId="83" fillId="15" borderId="17" xfId="0" applyFont="1" applyFill="1" applyBorder="1" applyAlignment="1">
      <alignment horizontal="center" vertical="center"/>
    </xf>
    <xf numFmtId="0" fontId="83" fillId="15" borderId="16" xfId="0" applyFont="1" applyFill="1" applyBorder="1" applyAlignment="1">
      <alignment horizontal="center" vertical="center"/>
    </xf>
    <xf numFmtId="0" fontId="101" fillId="29" borderId="15" xfId="0" applyFont="1" applyFill="1" applyBorder="1" applyAlignment="1">
      <alignment horizontal="center" vertical="center"/>
    </xf>
    <xf numFmtId="0" fontId="101" fillId="29" borderId="17" xfId="0" applyFont="1" applyFill="1" applyBorder="1" applyAlignment="1">
      <alignment horizontal="center" vertical="center"/>
    </xf>
    <xf numFmtId="0" fontId="101" fillId="29" borderId="16" xfId="0" applyFont="1" applyFill="1" applyBorder="1" applyAlignment="1">
      <alignment horizontal="center" vertical="center"/>
    </xf>
    <xf numFmtId="0" fontId="102" fillId="28" borderId="0" xfId="0" applyFont="1" applyFill="1" applyBorder="1" applyAlignment="1">
      <alignment horizontal="center" vertical="center"/>
    </xf>
    <xf numFmtId="0" fontId="102" fillId="28" borderId="17" xfId="0" applyFont="1" applyFill="1" applyBorder="1" applyAlignment="1">
      <alignment horizontal="center" vertical="center"/>
    </xf>
    <xf numFmtId="0" fontId="101" fillId="27" borderId="15" xfId="0" applyFont="1" applyFill="1" applyBorder="1" applyAlignment="1">
      <alignment horizontal="center" vertical="center"/>
    </xf>
    <xf numFmtId="0" fontId="101" fillId="27" borderId="17" xfId="0" applyFont="1" applyFill="1" applyBorder="1" applyAlignment="1">
      <alignment horizontal="center" vertical="center"/>
    </xf>
    <xf numFmtId="0" fontId="101" fillId="27" borderId="16" xfId="0" applyFont="1" applyFill="1" applyBorder="1" applyAlignment="1">
      <alignment horizontal="center" vertical="center"/>
    </xf>
    <xf numFmtId="0" fontId="102" fillId="24" borderId="17" xfId="0" applyFont="1" applyFill="1" applyBorder="1" applyAlignment="1">
      <alignment horizontal="center" vertical="center"/>
    </xf>
    <xf numFmtId="0" fontId="102" fillId="18" borderId="15" xfId="0" applyFont="1" applyFill="1" applyBorder="1" applyAlignment="1">
      <alignment horizontal="center" vertical="center"/>
    </xf>
    <xf numFmtId="0" fontId="102" fillId="18" borderId="17" xfId="0" applyFont="1" applyFill="1" applyBorder="1" applyAlignment="1">
      <alignment horizontal="center" vertical="center"/>
    </xf>
    <xf numFmtId="0" fontId="102" fillId="18" borderId="16" xfId="0" applyFont="1" applyFill="1" applyBorder="1" applyAlignment="1">
      <alignment horizontal="center" vertical="center"/>
    </xf>
    <xf numFmtId="0" fontId="49" fillId="13" borderId="19" xfId="0" applyFont="1" applyFill="1" applyBorder="1" applyAlignment="1">
      <alignment horizontal="center" vertical="center" wrapText="1"/>
    </xf>
    <xf numFmtId="0" fontId="49" fillId="13" borderId="0" xfId="0" applyFont="1" applyFill="1" applyBorder="1" applyAlignment="1">
      <alignment horizontal="center" vertical="center" wrapText="1"/>
    </xf>
    <xf numFmtId="0" fontId="49" fillId="13" borderId="18" xfId="0" applyFont="1" applyFill="1" applyBorder="1" applyAlignment="1">
      <alignment horizontal="center" vertical="center" wrapText="1"/>
    </xf>
    <xf numFmtId="0" fontId="26" fillId="9" borderId="7" xfId="0" applyFont="1" applyFill="1" applyBorder="1" applyAlignment="1">
      <alignment horizontal="center" vertical="top"/>
    </xf>
    <xf numFmtId="0" fontId="26" fillId="9" borderId="8" xfId="0" applyFont="1" applyFill="1" applyBorder="1" applyAlignment="1">
      <alignment horizontal="center" vertical="top"/>
    </xf>
    <xf numFmtId="0" fontId="26" fillId="9" borderId="2" xfId="0" applyFont="1" applyFill="1" applyBorder="1" applyAlignment="1">
      <alignment horizontal="center" vertical="top"/>
    </xf>
    <xf numFmtId="0" fontId="83" fillId="29" borderId="15" xfId="0" applyFont="1" applyFill="1" applyBorder="1" applyAlignment="1">
      <alignment horizontal="center" vertical="center"/>
    </xf>
    <xf numFmtId="0" fontId="83" fillId="29" borderId="16" xfId="0" applyFont="1" applyFill="1" applyBorder="1" applyAlignment="1">
      <alignment horizontal="center" vertical="center"/>
    </xf>
    <xf numFmtId="0" fontId="74" fillId="28" borderId="17" xfId="0" applyFont="1" applyFill="1" applyBorder="1" applyAlignment="1">
      <alignment horizontal="center" vertical="center"/>
    </xf>
    <xf numFmtId="0" fontId="101" fillId="15" borderId="17" xfId="0" applyFont="1" applyFill="1" applyBorder="1" applyAlignment="1">
      <alignment horizontal="center" vertical="center"/>
    </xf>
    <xf numFmtId="0" fontId="101" fillId="15" borderId="16" xfId="0" applyFont="1" applyFill="1" applyBorder="1" applyAlignment="1">
      <alignment horizontal="center" vertical="center"/>
    </xf>
    <xf numFmtId="0" fontId="60" fillId="23" borderId="15" xfId="0" applyFont="1" applyFill="1" applyBorder="1" applyAlignment="1">
      <alignment horizontal="center" vertical="top"/>
    </xf>
    <xf numFmtId="0" fontId="60" fillId="23" borderId="16" xfId="0" applyFont="1" applyFill="1" applyBorder="1" applyAlignment="1">
      <alignment horizontal="center" vertical="top"/>
    </xf>
    <xf numFmtId="0" fontId="57" fillId="15" borderId="15" xfId="0" applyFont="1" applyFill="1" applyBorder="1" applyAlignment="1">
      <alignment horizontal="center" vertical="top"/>
    </xf>
    <xf numFmtId="0" fontId="57" fillId="15" borderId="16" xfId="0" applyFont="1" applyFill="1" applyBorder="1" applyAlignment="1">
      <alignment horizontal="center" vertical="top"/>
    </xf>
    <xf numFmtId="0" fontId="57" fillId="29" borderId="15" xfId="0" applyFont="1" applyFill="1" applyBorder="1" applyAlignment="1">
      <alignment horizontal="center" vertical="top"/>
    </xf>
    <xf numFmtId="0" fontId="57" fillId="29" borderId="16" xfId="0" applyFont="1" applyFill="1" applyBorder="1" applyAlignment="1">
      <alignment horizontal="center" vertical="top"/>
    </xf>
    <xf numFmtId="0" fontId="60" fillId="28" borderId="15" xfId="0" applyFont="1" applyFill="1" applyBorder="1" applyAlignment="1">
      <alignment horizontal="center" vertical="top"/>
    </xf>
    <xf numFmtId="0" fontId="60" fillId="28" borderId="16" xfId="0" applyFont="1" applyFill="1" applyBorder="1" applyAlignment="1">
      <alignment horizontal="center" vertical="top"/>
    </xf>
    <xf numFmtId="0" fontId="57" fillId="27" borderId="15" xfId="0" applyFont="1" applyFill="1" applyBorder="1" applyAlignment="1">
      <alignment horizontal="center" vertical="top"/>
    </xf>
    <xf numFmtId="0" fontId="57" fillId="27" borderId="16" xfId="0" applyFont="1" applyFill="1" applyBorder="1" applyAlignment="1">
      <alignment horizontal="center" vertical="top"/>
    </xf>
    <xf numFmtId="0" fontId="60" fillId="24" borderId="15" xfId="0" applyFont="1" applyFill="1" applyBorder="1" applyAlignment="1">
      <alignment horizontal="center" vertical="top"/>
    </xf>
    <xf numFmtId="0" fontId="60" fillId="24" borderId="16" xfId="0" applyFont="1" applyFill="1" applyBorder="1" applyAlignment="1">
      <alignment horizontal="center" vertical="top"/>
    </xf>
    <xf numFmtId="0" fontId="60" fillId="18" borderId="15" xfId="0" applyFont="1" applyFill="1" applyBorder="1" applyAlignment="1">
      <alignment horizontal="center" vertical="top"/>
    </xf>
    <xf numFmtId="0" fontId="60" fillId="18" borderId="16" xfId="0" applyFont="1" applyFill="1" applyBorder="1" applyAlignment="1">
      <alignment horizontal="center" vertical="top"/>
    </xf>
    <xf numFmtId="0" fontId="60" fillId="26" borderId="15" xfId="0" applyFont="1" applyFill="1" applyBorder="1" applyAlignment="1">
      <alignment horizontal="center" vertical="top"/>
    </xf>
    <xf numFmtId="0" fontId="60" fillId="26" borderId="16" xfId="0" applyFont="1" applyFill="1" applyBorder="1" applyAlignment="1">
      <alignment horizontal="center" vertical="top"/>
    </xf>
    <xf numFmtId="0" fontId="61" fillId="9" borderId="7" xfId="0" applyFont="1" applyFill="1" applyBorder="1" applyAlignment="1">
      <alignment horizontal="center" vertical="center" wrapText="1"/>
    </xf>
    <xf numFmtId="0" fontId="61" fillId="9" borderId="8" xfId="0" applyFont="1" applyFill="1" applyBorder="1" applyAlignment="1">
      <alignment horizontal="center" vertical="center" wrapText="1"/>
    </xf>
    <xf numFmtId="0" fontId="91" fillId="9" borderId="45" xfId="0" applyFont="1" applyFill="1" applyBorder="1" applyAlignment="1">
      <alignment vertical="center" wrapText="1"/>
    </xf>
    <xf numFmtId="0" fontId="91" fillId="9" borderId="0" xfId="0" applyFont="1" applyFill="1" applyBorder="1" applyAlignment="1">
      <alignment vertical="center" wrapText="1"/>
    </xf>
    <xf numFmtId="0" fontId="91" fillId="9" borderId="46" xfId="0" applyFont="1" applyFill="1" applyBorder="1" applyAlignment="1">
      <alignment vertical="center" wrapText="1"/>
    </xf>
    <xf numFmtId="0" fontId="91" fillId="9" borderId="0" xfId="0" applyFont="1" applyFill="1"/>
    <xf numFmtId="0" fontId="91" fillId="9" borderId="42" xfId="0" applyFont="1" applyFill="1" applyBorder="1" applyAlignment="1">
      <alignment vertical="center" wrapText="1"/>
    </xf>
    <xf numFmtId="0" fontId="91" fillId="9" borderId="55" xfId="0" applyFont="1" applyFill="1" applyBorder="1" applyAlignment="1">
      <alignment vertical="center" wrapText="1"/>
    </xf>
    <xf numFmtId="0" fontId="91" fillId="9" borderId="56" xfId="0" applyFont="1" applyFill="1" applyBorder="1" applyAlignment="1">
      <alignment vertical="center" wrapText="1"/>
    </xf>
    <xf numFmtId="0" fontId="49" fillId="33" borderId="0" xfId="0" applyFont="1" applyFill="1" applyBorder="1" applyAlignment="1">
      <alignment horizontal="center" vertical="top"/>
    </xf>
    <xf numFmtId="0" fontId="0" fillId="9" borderId="0" xfId="0" applyFill="1" applyBorder="1" applyAlignment="1">
      <alignment horizontal="left" wrapText="1"/>
    </xf>
    <xf numFmtId="0" fontId="91" fillId="9" borderId="47" xfId="0" applyFont="1" applyFill="1" applyBorder="1" applyAlignment="1">
      <alignment horizontal="right" vertical="center" wrapText="1"/>
    </xf>
    <xf numFmtId="0" fontId="91" fillId="9" borderId="48" xfId="0" applyFont="1" applyFill="1" applyBorder="1" applyAlignment="1">
      <alignment horizontal="right" vertical="center" wrapText="1"/>
    </xf>
    <xf numFmtId="0" fontId="91" fillId="9" borderId="49" xfId="0" applyFont="1" applyFill="1" applyBorder="1" applyAlignment="1">
      <alignment horizontal="right" vertical="center" wrapText="1"/>
    </xf>
    <xf numFmtId="0" fontId="91" fillId="9" borderId="44" xfId="0" applyFont="1" applyFill="1" applyBorder="1" applyAlignment="1">
      <alignment horizontal="right" vertical="center"/>
    </xf>
    <xf numFmtId="0" fontId="91" fillId="9" borderId="41" xfId="0" applyFont="1" applyFill="1" applyBorder="1" applyAlignment="1">
      <alignment horizontal="right" vertical="center"/>
    </xf>
    <xf numFmtId="0" fontId="26" fillId="0" borderId="8" xfId="0" applyFont="1" applyFill="1" applyBorder="1" applyAlignment="1">
      <alignment horizontal="left" vertical="top" wrapText="1"/>
    </xf>
  </cellXfs>
  <cellStyles count="17">
    <cellStyle name="Comma" xfId="16" builtinId="3"/>
    <cellStyle name="Comma [0] 2" xfId="1"/>
    <cellStyle name="Comma [0] 2 2" xfId="5"/>
    <cellStyle name="Comma 2" xfId="10"/>
    <cellStyle name="Followed Hyperlink" xfId="2" builtinId="9" customBuiltin="1"/>
    <cellStyle name="Followed Hyperlink 2" xfId="9"/>
    <cellStyle name="Hyperlink" xfId="3" builtinId="8"/>
    <cellStyle name="Hyperlink 2" xfId="11"/>
    <cellStyle name="Hyperlink 3" xfId="15"/>
    <cellStyle name="Normal" xfId="0" builtinId="0"/>
    <cellStyle name="Normal 2" xfId="4"/>
    <cellStyle name="Normal 3" xfId="6"/>
    <cellStyle name="Normal 3 19" xfId="12"/>
    <cellStyle name="Normal 3 2" xfId="13"/>
    <cellStyle name="Normal 4" xfId="8"/>
    <cellStyle name="Normal 5" xfId="14"/>
    <cellStyle name="Normal 6" xfId="7"/>
  </cellStyles>
  <dxfs count="63">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ont>
        <color auto="1"/>
      </font>
      <fill>
        <patternFill>
          <bgColor rgb="FFFF7C80"/>
        </patternFill>
      </fill>
    </dxf>
    <dxf>
      <font>
        <b/>
        <i/>
      </font>
    </dxf>
    <dxf>
      <font>
        <b/>
        <i/>
      </font>
    </dxf>
    <dxf>
      <font>
        <b/>
        <i/>
      </font>
    </dxf>
    <dxf>
      <font>
        <b/>
        <i/>
      </font>
    </dxf>
    <dxf>
      <font>
        <b/>
        <i/>
      </font>
    </dxf>
    <dxf>
      <font>
        <b/>
        <i/>
      </font>
    </dxf>
    <dxf>
      <font>
        <b/>
        <i/>
      </font>
    </dxf>
    <dxf>
      <font>
        <b/>
        <i/>
      </font>
    </dxf>
    <dxf>
      <font>
        <color auto="1"/>
      </font>
      <fill>
        <patternFill>
          <bgColor rgb="FFFF7C80"/>
        </patternFill>
      </fill>
    </dxf>
    <dxf>
      <border>
        <left style="thin">
          <color rgb="FF0000FF"/>
        </left>
        <right style="thin">
          <color rgb="FF0000FF"/>
        </right>
        <top style="thin">
          <color rgb="FF0000FF"/>
        </top>
        <bottom style="thin">
          <color rgb="FF0000FF"/>
        </bottom>
        <vertical/>
        <horizontal/>
      </border>
    </dxf>
    <dxf>
      <font>
        <b val="0"/>
        <i val="0"/>
        <color auto="1"/>
      </font>
      <fill>
        <patternFill>
          <bgColor rgb="FFFFCC66"/>
        </patternFill>
      </fill>
    </dxf>
    <dxf>
      <fill>
        <patternFill>
          <bgColor rgb="FFFF9933"/>
        </patternFill>
      </fill>
    </dxf>
    <dxf>
      <fill>
        <patternFill>
          <bgColor rgb="FFFF3300"/>
        </patternFill>
      </fill>
    </dxf>
    <dxf>
      <font>
        <color auto="1"/>
      </font>
      <fill>
        <patternFill>
          <bgColor rgb="FFFF7C8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7C80"/>
      <color rgb="FFFFCC66"/>
      <color rgb="FFFF9933"/>
      <color rgb="FFFF3300"/>
      <color rgb="FFFFFF00"/>
      <color rgb="FFFFFF66"/>
      <color rgb="FFFFFF99"/>
      <color rgb="FFFFFFCC"/>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7294F203-7C47-4DC8-A422-6D6656F92180" TargetMode="External"/><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9</xdr:row>
      <xdr:rowOff>76200</xdr:rowOff>
    </xdr:from>
    <xdr:to>
      <xdr:col>0</xdr:col>
      <xdr:colOff>1990725</xdr:colOff>
      <xdr:row>11</xdr:row>
      <xdr:rowOff>43327</xdr:rowOff>
    </xdr:to>
    <xdr:pic>
      <xdr:nvPicPr>
        <xdr:cNvPr id="5" name="eeb5c682-7b0a-4069-8696-c31004c6ef33" descr="cid:7294F203-7C47-4DC8-A422-6D6656F92180"/>
        <xdr:cNvPicPr>
          <a:picLocks noChangeAspect="1"/>
        </xdr:cNvPicPr>
      </xdr:nvPicPr>
      <xdr:blipFill>
        <a:blip xmlns:r="http://schemas.openxmlformats.org/officeDocument/2006/relationships" r:embed="rId1" r:link="rId2" cstate="print"/>
        <a:srcRect/>
        <a:stretch>
          <a:fillRect/>
        </a:stretch>
      </xdr:blipFill>
      <xdr:spPr bwMode="auto">
        <a:xfrm>
          <a:off x="57150" y="2667000"/>
          <a:ext cx="1933575" cy="348127"/>
        </a:xfrm>
        <a:prstGeom prst="rect">
          <a:avLst/>
        </a:prstGeom>
        <a:noFill/>
        <a:ln w="9525">
          <a:noFill/>
          <a:miter lim="800000"/>
          <a:headEnd/>
          <a:tailEnd/>
        </a:ln>
      </xdr:spPr>
    </xdr:pic>
    <xdr:clientData/>
  </xdr:twoCellAnchor>
  <xdr:twoCellAnchor editAs="oneCell">
    <xdr:from>
      <xdr:col>0</xdr:col>
      <xdr:colOff>2419350</xdr:colOff>
      <xdr:row>9</xdr:row>
      <xdr:rowOff>19050</xdr:rowOff>
    </xdr:from>
    <xdr:to>
      <xdr:col>0</xdr:col>
      <xdr:colOff>3982085</xdr:colOff>
      <xdr:row>11</xdr:row>
      <xdr:rowOff>127000</xdr:rowOff>
    </xdr:to>
    <xdr:pic>
      <xdr:nvPicPr>
        <xdr:cNvPr id="3" name="Picture 2" descr="cid:image001.png@01CFC10F.404A38F0"/>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419350" y="2609850"/>
          <a:ext cx="1562735" cy="488950"/>
        </a:xfrm>
        <a:prstGeom prst="rect">
          <a:avLst/>
        </a:prstGeom>
        <a:noFill/>
        <a:ln>
          <a:noFill/>
        </a:ln>
      </xdr:spPr>
    </xdr:pic>
    <xdr:clientData/>
  </xdr:twoCellAnchor>
  <xdr:twoCellAnchor editAs="oneCell">
    <xdr:from>
      <xdr:col>0</xdr:col>
      <xdr:colOff>4229100</xdr:colOff>
      <xdr:row>9</xdr:row>
      <xdr:rowOff>95250</xdr:rowOff>
    </xdr:from>
    <xdr:to>
      <xdr:col>0</xdr:col>
      <xdr:colOff>5842000</xdr:colOff>
      <xdr:row>11</xdr:row>
      <xdr:rowOff>15240</xdr:rowOff>
    </xdr:to>
    <xdr:pic>
      <xdr:nvPicPr>
        <xdr:cNvPr id="4" name="Picture 3" descr="C:\Users\Joe\Documents\A) BE projects\P459 Hazwaste reporting\Incoming info\REC.jpg"/>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4229100" y="2686050"/>
          <a:ext cx="1612900" cy="3009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410103</xdr:colOff>
      <xdr:row>77</xdr:row>
      <xdr:rowOff>63499</xdr:rowOff>
    </xdr:from>
    <xdr:ext cx="4331229" cy="4143504"/>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591953" y="8102599"/>
          <a:ext cx="4331229" cy="4143504"/>
        </a:xfrm>
        <a:prstGeom prst="rect">
          <a:avLst/>
        </a:prstGeom>
        <a:noFill/>
        <a:ln w="1">
          <a:noFill/>
          <a:miter lim="800000"/>
          <a:headEnd/>
          <a:tailEnd type="none" w="med" len="med"/>
        </a:ln>
        <a:effectLst/>
      </xdr:spPr>
    </xdr:pic>
    <xdr:clientData/>
  </xdr:oneCellAnchor>
  <xdr:twoCellAnchor editAs="oneCell">
    <xdr:from>
      <xdr:col>0</xdr:col>
      <xdr:colOff>0</xdr:colOff>
      <xdr:row>42</xdr:row>
      <xdr:rowOff>0</xdr:rowOff>
    </xdr:from>
    <xdr:to>
      <xdr:col>2</xdr:col>
      <xdr:colOff>539750</xdr:colOff>
      <xdr:row>56</xdr:row>
      <xdr:rowOff>119063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0" y="7969250"/>
          <a:ext cx="5863167" cy="2786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e\Documents\A)%20BE%20projects\P530%20Hazwaste%20infr.%20&amp;%20data\Workings\Jurisdictional%20data\Tas\2012-13%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e\Documents\A)%20BE%20projects\P530%20Hazwaste%20infr.%20&amp;%20data\Workings\Basel%20workbook%202012%20for%20testin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Sheet"/>
      <sheetName val="Aluminium"/>
      <sheetName val="B100"/>
      <sheetName val="C100"/>
      <sheetName val="D120"/>
      <sheetName val="D150"/>
      <sheetName val="D220"/>
      <sheetName val="D230"/>
      <sheetName val="D300"/>
      <sheetName val="E100"/>
      <sheetName val="F100"/>
      <sheetName val="G110"/>
      <sheetName val="G120"/>
      <sheetName val="G150"/>
      <sheetName val="H100"/>
      <sheetName val="J100"/>
      <sheetName val="J110"/>
      <sheetName val="J120"/>
      <sheetName val="M100"/>
      <sheetName val="M160"/>
      <sheetName val="M230"/>
      <sheetName val="M250"/>
      <sheetName val="N100"/>
      <sheetName val="N110"/>
      <sheetName val="N120"/>
      <sheetName val="N220"/>
      <sheetName val="R100"/>
      <sheetName val="R120"/>
      <sheetName val="T100"/>
      <sheetName val="T120"/>
    </sheetNames>
    <sheetDataSet>
      <sheetData sheetId="0">
        <row r="14">
          <cell r="F14">
            <v>6.8</v>
          </cell>
        </row>
        <row r="24">
          <cell r="F24">
            <v>1.2000000000000002</v>
          </cell>
        </row>
      </sheetData>
      <sheetData sheetId="1"/>
      <sheetData sheetId="2"/>
      <sheetData sheetId="3">
        <row r="10">
          <cell r="E10">
            <v>0.6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ACT"/>
      <sheetName val="NSW"/>
      <sheetName val="NT"/>
      <sheetName val="Qld"/>
      <sheetName val="SA"/>
      <sheetName val="TAS"/>
      <sheetName val="Vic"/>
      <sheetName val="WA"/>
      <sheetName val="QA checks"/>
      <sheetName val="Gap data"/>
      <sheetName val="Adjusted jurisdiction data"/>
      <sheetName val="National data"/>
    </sheetNames>
    <sheetDataSet>
      <sheetData sheetId="0"/>
      <sheetData sheetId="1"/>
      <sheetData sheetId="2"/>
      <sheetData sheetId="3">
        <row r="8">
          <cell r="M8">
            <v>0</v>
          </cell>
          <cell r="N8">
            <v>0</v>
          </cell>
        </row>
        <row r="9">
          <cell r="M9">
            <v>0</v>
          </cell>
          <cell r="N9">
            <v>0</v>
          </cell>
        </row>
        <row r="10">
          <cell r="M10">
            <v>0</v>
          </cell>
          <cell r="N10">
            <v>0</v>
          </cell>
        </row>
        <row r="11">
          <cell r="M11">
            <v>7.17</v>
          </cell>
          <cell r="N11">
            <v>6.46</v>
          </cell>
        </row>
        <row r="12">
          <cell r="M12">
            <v>80.84</v>
          </cell>
          <cell r="N12">
            <v>45.95</v>
          </cell>
        </row>
        <row r="13">
          <cell r="M13">
            <v>0</v>
          </cell>
          <cell r="N13">
            <v>27.85</v>
          </cell>
        </row>
        <row r="14">
          <cell r="M14">
            <v>0</v>
          </cell>
          <cell r="N14">
            <v>0</v>
          </cell>
        </row>
        <row r="15">
          <cell r="M15">
            <v>21.53</v>
          </cell>
          <cell r="N15">
            <v>0</v>
          </cell>
        </row>
        <row r="16">
          <cell r="M16">
            <v>0</v>
          </cell>
          <cell r="N16">
            <v>0</v>
          </cell>
        </row>
        <row r="17">
          <cell r="M17">
            <v>0</v>
          </cell>
          <cell r="N17">
            <v>0</v>
          </cell>
        </row>
        <row r="18">
          <cell r="M18">
            <v>0</v>
          </cell>
          <cell r="N18">
            <v>0</v>
          </cell>
        </row>
        <row r="19">
          <cell r="M19">
            <v>0</v>
          </cell>
          <cell r="N19">
            <v>0</v>
          </cell>
        </row>
        <row r="20">
          <cell r="M20">
            <v>0</v>
          </cell>
          <cell r="N20">
            <v>0</v>
          </cell>
        </row>
        <row r="21">
          <cell r="M21">
            <v>0</v>
          </cell>
          <cell r="N21">
            <v>0</v>
          </cell>
        </row>
        <row r="22">
          <cell r="M22">
            <v>0</v>
          </cell>
          <cell r="N22">
            <v>0</v>
          </cell>
        </row>
        <row r="23">
          <cell r="M23">
            <v>0</v>
          </cell>
          <cell r="N23">
            <v>0</v>
          </cell>
        </row>
        <row r="24">
          <cell r="M24">
            <v>0</v>
          </cell>
          <cell r="N24">
            <v>0</v>
          </cell>
        </row>
        <row r="25">
          <cell r="M25">
            <v>224.13</v>
          </cell>
          <cell r="N25">
            <v>185.64</v>
          </cell>
        </row>
        <row r="26">
          <cell r="M26">
            <v>0</v>
          </cell>
          <cell r="N26">
            <v>0</v>
          </cell>
        </row>
        <row r="27">
          <cell r="M27">
            <v>0</v>
          </cell>
          <cell r="N27">
            <v>0</v>
          </cell>
        </row>
        <row r="28">
          <cell r="M28">
            <v>0</v>
          </cell>
          <cell r="N28">
            <v>0</v>
          </cell>
        </row>
        <row r="29">
          <cell r="M29">
            <v>0</v>
          </cell>
          <cell r="N29">
            <v>0</v>
          </cell>
        </row>
        <row r="30">
          <cell r="M30">
            <v>0</v>
          </cell>
          <cell r="N30">
            <v>0</v>
          </cell>
        </row>
        <row r="31">
          <cell r="M31">
            <v>0</v>
          </cell>
          <cell r="N31">
            <v>0</v>
          </cell>
        </row>
        <row r="32">
          <cell r="M32">
            <v>0</v>
          </cell>
          <cell r="N32">
            <v>0</v>
          </cell>
        </row>
        <row r="33">
          <cell r="M33">
            <v>0</v>
          </cell>
          <cell r="N33">
            <v>0</v>
          </cell>
        </row>
        <row r="34">
          <cell r="M34">
            <v>0</v>
          </cell>
          <cell r="N34">
            <v>0</v>
          </cell>
        </row>
        <row r="35">
          <cell r="M35">
            <v>0</v>
          </cell>
          <cell r="N35">
            <v>0</v>
          </cell>
        </row>
        <row r="36">
          <cell r="M36">
            <v>0</v>
          </cell>
          <cell r="N36">
            <v>0</v>
          </cell>
        </row>
        <row r="37">
          <cell r="M37">
            <v>0</v>
          </cell>
          <cell r="N37">
            <v>0</v>
          </cell>
        </row>
        <row r="38">
          <cell r="M38">
            <v>0</v>
          </cell>
          <cell r="N38">
            <v>36</v>
          </cell>
        </row>
        <row r="39">
          <cell r="M39">
            <v>0.86</v>
          </cell>
          <cell r="N39">
            <v>0</v>
          </cell>
        </row>
        <row r="40">
          <cell r="M40">
            <v>0</v>
          </cell>
          <cell r="N40">
            <v>0</v>
          </cell>
        </row>
        <row r="41">
          <cell r="M41">
            <v>6.93</v>
          </cell>
          <cell r="N41">
            <v>0</v>
          </cell>
        </row>
        <row r="42">
          <cell r="M42">
            <v>0.89</v>
          </cell>
          <cell r="N42">
            <v>0</v>
          </cell>
        </row>
        <row r="43">
          <cell r="M43">
            <v>0</v>
          </cell>
          <cell r="N43">
            <v>0</v>
          </cell>
        </row>
        <row r="44">
          <cell r="M44">
            <v>0</v>
          </cell>
          <cell r="N44">
            <v>0</v>
          </cell>
        </row>
        <row r="45">
          <cell r="M45">
            <v>0</v>
          </cell>
          <cell r="N45">
            <v>0</v>
          </cell>
        </row>
        <row r="46">
          <cell r="M46">
            <v>0</v>
          </cell>
          <cell r="N46">
            <v>0</v>
          </cell>
        </row>
        <row r="47">
          <cell r="M47">
            <v>205.85</v>
          </cell>
          <cell r="N47">
            <v>376.88</v>
          </cell>
        </row>
        <row r="48">
          <cell r="M48">
            <v>101.31</v>
          </cell>
          <cell r="N48">
            <v>103.43</v>
          </cell>
        </row>
        <row r="49">
          <cell r="M49">
            <v>7.89</v>
          </cell>
          <cell r="N49">
            <v>0</v>
          </cell>
        </row>
        <row r="50">
          <cell r="M50">
            <v>0</v>
          </cell>
          <cell r="N50">
            <v>0</v>
          </cell>
        </row>
        <row r="51">
          <cell r="M51">
            <v>0</v>
          </cell>
          <cell r="N51">
            <v>0</v>
          </cell>
        </row>
        <row r="52">
          <cell r="M52">
            <v>0</v>
          </cell>
          <cell r="N52">
            <v>0</v>
          </cell>
        </row>
        <row r="53">
          <cell r="M53">
            <v>0</v>
          </cell>
          <cell r="N53">
            <v>0</v>
          </cell>
        </row>
        <row r="54">
          <cell r="M54">
            <v>0</v>
          </cell>
          <cell r="N54">
            <v>70.5</v>
          </cell>
        </row>
        <row r="55">
          <cell r="M55">
            <v>0</v>
          </cell>
          <cell r="N55">
            <v>0</v>
          </cell>
        </row>
        <row r="56">
          <cell r="M56">
            <v>0</v>
          </cell>
          <cell r="N56">
            <v>0</v>
          </cell>
        </row>
        <row r="57">
          <cell r="M57">
            <v>0</v>
          </cell>
          <cell r="N57">
            <v>0</v>
          </cell>
        </row>
        <row r="58">
          <cell r="M58">
            <v>0</v>
          </cell>
          <cell r="N58">
            <v>0</v>
          </cell>
        </row>
        <row r="59">
          <cell r="M59">
            <v>0</v>
          </cell>
          <cell r="N59">
            <v>0</v>
          </cell>
        </row>
        <row r="60">
          <cell r="M60">
            <v>0</v>
          </cell>
          <cell r="N60">
            <v>0</v>
          </cell>
        </row>
        <row r="61">
          <cell r="M61">
            <v>0</v>
          </cell>
          <cell r="N61">
            <v>0</v>
          </cell>
        </row>
        <row r="62">
          <cell r="M62">
            <v>4.96</v>
          </cell>
          <cell r="N62">
            <v>6.63</v>
          </cell>
        </row>
        <row r="63">
          <cell r="M63">
            <v>0</v>
          </cell>
          <cell r="N63">
            <v>0</v>
          </cell>
        </row>
        <row r="64">
          <cell r="M64">
            <v>29.06</v>
          </cell>
          <cell r="N64">
            <v>0</v>
          </cell>
        </row>
        <row r="65">
          <cell r="M65">
            <v>0</v>
          </cell>
          <cell r="N65">
            <v>0</v>
          </cell>
        </row>
        <row r="66">
          <cell r="M66">
            <v>0</v>
          </cell>
          <cell r="N66">
            <v>0</v>
          </cell>
        </row>
        <row r="67">
          <cell r="M67">
            <v>0</v>
          </cell>
          <cell r="N67">
            <v>0</v>
          </cell>
        </row>
        <row r="68">
          <cell r="M68">
            <v>0</v>
          </cell>
          <cell r="N68">
            <v>0</v>
          </cell>
        </row>
        <row r="69">
          <cell r="M69">
            <v>0</v>
          </cell>
          <cell r="N69">
            <v>0</v>
          </cell>
        </row>
        <row r="70">
          <cell r="M70">
            <v>0</v>
          </cell>
          <cell r="N70">
            <v>0</v>
          </cell>
        </row>
        <row r="71">
          <cell r="M71">
            <v>0</v>
          </cell>
          <cell r="N71">
            <v>63.66</v>
          </cell>
        </row>
        <row r="72">
          <cell r="M72">
            <v>0</v>
          </cell>
          <cell r="N72">
            <v>0</v>
          </cell>
        </row>
        <row r="73">
          <cell r="M73">
            <v>57.22</v>
          </cell>
          <cell r="N73">
            <v>67.25</v>
          </cell>
        </row>
        <row r="74">
          <cell r="M74">
            <v>0</v>
          </cell>
          <cell r="N74">
            <v>0</v>
          </cell>
        </row>
        <row r="75">
          <cell r="M75">
            <v>0</v>
          </cell>
          <cell r="N75">
            <v>0</v>
          </cell>
        </row>
        <row r="76">
          <cell r="M76">
            <v>100.03</v>
          </cell>
          <cell r="N76">
            <v>24.21</v>
          </cell>
        </row>
        <row r="77">
          <cell r="M77">
            <v>0</v>
          </cell>
          <cell r="N77">
            <v>0</v>
          </cell>
        </row>
        <row r="78">
          <cell r="M78">
            <v>0</v>
          </cell>
          <cell r="N78">
            <v>0</v>
          </cell>
        </row>
        <row r="79">
          <cell r="M79">
            <v>0</v>
          </cell>
          <cell r="N79">
            <v>0</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8"/>
  <sheetViews>
    <sheetView tabSelected="1" zoomScaleNormal="100" workbookViewId="0"/>
  </sheetViews>
  <sheetFormatPr defaultRowHeight="15"/>
  <cols>
    <col min="1" max="1" width="155" style="661" customWidth="1"/>
    <col min="2" max="2" width="141.140625" style="230" customWidth="1"/>
    <col min="3" max="16384" width="9.140625" style="230"/>
  </cols>
  <sheetData>
    <row r="1" spans="1:20" s="695" customFormat="1" ht="21">
      <c r="A1" s="662" t="s">
        <v>684</v>
      </c>
      <c r="D1" s="696"/>
      <c r="E1" s="697"/>
      <c r="F1" s="697"/>
      <c r="G1" s="697"/>
      <c r="H1" s="697"/>
      <c r="I1" s="696"/>
      <c r="J1" s="697"/>
      <c r="S1" s="698"/>
      <c r="T1" s="698"/>
    </row>
    <row r="2" spans="1:20">
      <c r="A2" s="663" t="s">
        <v>861</v>
      </c>
    </row>
    <row r="3" spans="1:20">
      <c r="B3" s="510"/>
    </row>
    <row r="4" spans="1:20" ht="30">
      <c r="A4" s="661" t="s">
        <v>831</v>
      </c>
    </row>
    <row r="6" spans="1:20" ht="48" customHeight="1">
      <c r="A6" s="661" t="s">
        <v>862</v>
      </c>
    </row>
    <row r="8" spans="1:20">
      <c r="A8" s="661" t="s">
        <v>832</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dimension ref="A1:BL86"/>
  <sheetViews>
    <sheetView zoomScale="70" zoomScaleNormal="70" workbookViewId="0">
      <pane ySplit="13" topLeftCell="A14" activePane="bottomLeft" state="frozen"/>
      <selection pane="bottomLeft" activeCell="A14" sqref="A14"/>
    </sheetView>
  </sheetViews>
  <sheetFormatPr defaultColWidth="9.140625" defaultRowHeight="12.75"/>
  <cols>
    <col min="1" max="1" width="4.7109375" style="36" customWidth="1"/>
    <col min="2" max="2" width="12.85546875" style="36" customWidth="1"/>
    <col min="3" max="3" width="18.140625" style="36" customWidth="1"/>
    <col min="4" max="4" width="9.140625" style="36"/>
    <col min="5" max="5" width="85.5703125" style="36" customWidth="1"/>
    <col min="6" max="6" width="7.42578125" style="36" customWidth="1"/>
    <col min="7" max="7" width="5.42578125" style="36" customWidth="1"/>
    <col min="8" max="8" width="7.42578125" style="36" customWidth="1"/>
    <col min="9" max="9" width="5.42578125" style="36" customWidth="1"/>
    <col min="10" max="10" width="8" style="36" customWidth="1"/>
    <col min="11" max="11" width="5.42578125" style="36" customWidth="1"/>
    <col min="12" max="12" width="8.140625" style="36" customWidth="1"/>
    <col min="13" max="13" width="5.42578125" style="36" customWidth="1"/>
    <col min="14" max="14" width="7.42578125" style="36" customWidth="1"/>
    <col min="15" max="15" width="5.42578125" style="36" customWidth="1"/>
    <col min="16" max="16" width="7.42578125" style="36" customWidth="1"/>
    <col min="17" max="17" width="5.42578125" style="36" customWidth="1"/>
    <col min="18" max="18" width="7.42578125" style="36" customWidth="1"/>
    <col min="19" max="19" width="5.42578125" style="36" customWidth="1"/>
    <col min="20" max="20" width="8.28515625" style="36" customWidth="1"/>
    <col min="21" max="21" width="5.42578125" style="36" customWidth="1"/>
    <col min="22" max="22" width="7.42578125" style="36" customWidth="1"/>
    <col min="23" max="23" width="5.42578125" style="36" customWidth="1"/>
    <col min="24" max="24" width="8" style="36" customWidth="1"/>
    <col min="25" max="25" width="5.42578125" style="36" customWidth="1"/>
    <col min="26" max="26" width="7.42578125" style="36" customWidth="1"/>
    <col min="27" max="27" width="5.42578125" style="36" customWidth="1"/>
    <col min="28" max="28" width="7.42578125" style="36" customWidth="1"/>
    <col min="29" max="29" width="5.42578125" style="36" customWidth="1"/>
    <col min="30" max="30" width="8.140625" style="36" customWidth="1"/>
    <col min="31" max="31" width="5.42578125" style="36" customWidth="1"/>
    <col min="32" max="32" width="8" style="36" customWidth="1"/>
    <col min="33" max="33" width="5.42578125" style="36" customWidth="1"/>
    <col min="34" max="34" width="7.42578125" style="36" customWidth="1"/>
    <col min="35" max="35" width="5.42578125" style="36" customWidth="1"/>
    <col min="36" max="36" width="8.28515625" style="36" customWidth="1"/>
    <col min="37" max="37" width="5.42578125" style="36" customWidth="1"/>
    <col min="38" max="38" width="28.7109375" style="36" customWidth="1"/>
    <col min="39" max="40" width="9.140625" style="36"/>
    <col min="41" max="42" width="9.85546875" style="36" bestFit="1" customWidth="1"/>
    <col min="43" max="44" width="9.140625" style="36"/>
    <col min="45" max="46" width="9.85546875" style="36" bestFit="1" customWidth="1"/>
    <col min="47" max="53" width="9.140625" style="36"/>
    <col min="54" max="54" width="9.85546875" style="36" bestFit="1" customWidth="1"/>
    <col min="55" max="55" width="12.42578125" style="36" customWidth="1"/>
    <col min="56" max="56" width="9.140625" style="36"/>
    <col min="57" max="64" width="14" style="36" customWidth="1"/>
    <col min="65" max="16384" width="9.140625" style="36"/>
  </cols>
  <sheetData>
    <row r="1" spans="1:64" s="193" customFormat="1" ht="21">
      <c r="A1" s="195" t="s">
        <v>881</v>
      </c>
      <c r="E1" s="15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row>
    <row r="2" spans="1:64" s="113" customFormat="1">
      <c r="A2" s="731" t="s">
        <v>858</v>
      </c>
      <c r="C2" s="206"/>
      <c r="D2" s="207"/>
      <c r="E2" s="112"/>
      <c r="F2" s="206"/>
      <c r="J2" s="206"/>
      <c r="N2" s="206"/>
      <c r="R2" s="206"/>
      <c r="V2" s="206"/>
      <c r="Z2" s="206"/>
      <c r="AD2" s="206"/>
      <c r="AH2" s="206"/>
    </row>
    <row r="3" spans="1:64" s="113" customFormat="1" ht="21">
      <c r="A3" s="632"/>
      <c r="B3" s="633"/>
      <c r="C3" s="644"/>
      <c r="D3" s="730" t="s">
        <v>823</v>
      </c>
      <c r="E3" s="634"/>
      <c r="F3" s="645" t="s">
        <v>822</v>
      </c>
      <c r="G3" s="635"/>
      <c r="H3" s="648"/>
      <c r="I3" s="648"/>
      <c r="J3" s="649"/>
      <c r="K3" s="648"/>
      <c r="L3" s="648"/>
      <c r="M3" s="648"/>
      <c r="N3" s="649"/>
      <c r="O3" s="648"/>
      <c r="P3" s="648"/>
      <c r="Q3" s="648"/>
      <c r="R3" s="649"/>
      <c r="S3" s="648"/>
      <c r="T3" s="645" t="s">
        <v>855</v>
      </c>
      <c r="U3" s="648"/>
      <c r="V3" s="649"/>
      <c r="W3" s="648"/>
      <c r="X3" s="648"/>
      <c r="Y3" s="648"/>
      <c r="Z3" s="649"/>
      <c r="AA3" s="648"/>
      <c r="AB3" s="648"/>
      <c r="AC3" s="648"/>
      <c r="AD3" s="649"/>
      <c r="AE3" s="648"/>
      <c r="AF3" s="648"/>
      <c r="AG3" s="648"/>
      <c r="AH3" s="649"/>
      <c r="AI3" s="648"/>
      <c r="AJ3" s="648"/>
      <c r="AK3" s="740"/>
    </row>
    <row r="4" spans="1:64">
      <c r="A4" s="636"/>
      <c r="B4" s="625"/>
      <c r="C4" s="625"/>
      <c r="D4" s="637" t="s">
        <v>833</v>
      </c>
      <c r="E4" s="625"/>
      <c r="F4" s="646" t="s">
        <v>812</v>
      </c>
      <c r="G4" s="643" t="s">
        <v>826</v>
      </c>
      <c r="H4" s="625"/>
      <c r="I4" s="625"/>
      <c r="J4" s="625"/>
      <c r="K4" s="625"/>
      <c r="L4" s="625"/>
      <c r="M4" s="625"/>
      <c r="N4" s="625"/>
      <c r="O4" s="625"/>
      <c r="P4" s="625"/>
      <c r="Q4" s="625"/>
      <c r="R4" s="625"/>
      <c r="S4" s="625"/>
      <c r="T4" s="76"/>
      <c r="U4" s="728" t="s">
        <v>856</v>
      </c>
      <c r="V4" s="625"/>
      <c r="W4" s="625"/>
      <c r="X4" s="625"/>
      <c r="Y4" s="625"/>
      <c r="Z4" s="625"/>
      <c r="AA4" s="625"/>
      <c r="AB4" s="625"/>
      <c r="AC4" s="625"/>
      <c r="AD4" s="625"/>
      <c r="AE4" s="625"/>
      <c r="AF4" s="625"/>
      <c r="AG4" s="625"/>
      <c r="AH4" s="625"/>
      <c r="AI4" s="625"/>
      <c r="AJ4" s="625"/>
      <c r="AK4" s="650"/>
    </row>
    <row r="5" spans="1:64" s="27" customFormat="1">
      <c r="A5" s="638"/>
      <c r="B5" s="583"/>
      <c r="C5" s="639" t="s">
        <v>816</v>
      </c>
      <c r="D5" s="667" t="s">
        <v>834</v>
      </c>
      <c r="E5" s="625"/>
      <c r="F5" s="652" t="s">
        <v>825</v>
      </c>
      <c r="G5" s="728" t="s">
        <v>853</v>
      </c>
      <c r="H5" s="626"/>
      <c r="I5" s="626"/>
      <c r="J5" s="627"/>
      <c r="K5" s="626"/>
      <c r="L5" s="626"/>
      <c r="M5" s="626"/>
      <c r="N5" s="627"/>
      <c r="O5" s="626"/>
      <c r="P5" s="626"/>
      <c r="Q5" s="626"/>
      <c r="R5" s="627"/>
      <c r="S5" s="627"/>
      <c r="T5" s="627"/>
      <c r="U5" s="627"/>
      <c r="V5" s="627"/>
      <c r="W5" s="626"/>
      <c r="X5" s="626"/>
      <c r="Y5" s="626"/>
      <c r="Z5" s="627"/>
      <c r="AA5" s="626"/>
      <c r="AB5" s="626"/>
      <c r="AC5" s="626"/>
      <c r="AD5" s="627"/>
      <c r="AE5" s="626"/>
      <c r="AF5" s="626"/>
      <c r="AG5" s="626"/>
      <c r="AH5" s="627"/>
      <c r="AI5" s="626"/>
      <c r="AJ5" s="626"/>
      <c r="AK5" s="651"/>
    </row>
    <row r="6" spans="1:64" s="27" customFormat="1" ht="12.75" customHeight="1">
      <c r="A6" s="640"/>
      <c r="B6" s="582" t="s">
        <v>447</v>
      </c>
      <c r="C6" s="641"/>
      <c r="D6" s="667" t="s">
        <v>835</v>
      </c>
      <c r="E6" s="626"/>
      <c r="F6" s="654" t="s">
        <v>71</v>
      </c>
      <c r="G6" s="729" t="s">
        <v>854</v>
      </c>
      <c r="H6" s="626"/>
      <c r="I6" s="626"/>
      <c r="J6" s="626"/>
      <c r="K6" s="626"/>
      <c r="L6" s="626"/>
      <c r="M6" s="626"/>
      <c r="N6" s="626"/>
      <c r="O6" s="626"/>
      <c r="P6" s="626"/>
      <c r="Q6" s="626"/>
      <c r="R6" s="626"/>
      <c r="S6" s="626"/>
      <c r="T6" s="739"/>
      <c r="U6" s="738" t="s">
        <v>857</v>
      </c>
      <c r="V6" s="626"/>
      <c r="W6" s="738"/>
      <c r="X6" s="738"/>
      <c r="Y6" s="626"/>
      <c r="Z6" s="626"/>
      <c r="AA6" s="626"/>
      <c r="AB6" s="626"/>
      <c r="AC6" s="626"/>
      <c r="AD6" s="626"/>
      <c r="AE6" s="626"/>
      <c r="AF6" s="626"/>
      <c r="AG6" s="626"/>
      <c r="AH6" s="626"/>
      <c r="AI6" s="626"/>
      <c r="AJ6" s="626"/>
      <c r="AK6" s="651"/>
    </row>
    <row r="7" spans="1:64" s="27" customFormat="1">
      <c r="A7" s="734"/>
      <c r="B7" s="666"/>
      <c r="C7" s="735" t="s">
        <v>815</v>
      </c>
      <c r="D7" s="736" t="s">
        <v>836</v>
      </c>
      <c r="E7" s="737"/>
      <c r="F7" s="653" t="s">
        <v>813</v>
      </c>
      <c r="G7" s="647" t="s">
        <v>827</v>
      </c>
      <c r="H7" s="642"/>
      <c r="I7" s="642"/>
      <c r="J7" s="642"/>
      <c r="K7" s="642"/>
      <c r="L7" s="642"/>
      <c r="M7" s="642"/>
      <c r="N7" s="642"/>
      <c r="O7" s="642"/>
      <c r="P7" s="642"/>
      <c r="Q7" s="642"/>
      <c r="R7" s="642"/>
      <c r="S7" s="642"/>
      <c r="T7" s="642"/>
      <c r="U7" s="642"/>
      <c r="V7" s="642"/>
      <c r="W7" s="642"/>
      <c r="X7" s="642"/>
      <c r="Y7" s="642"/>
      <c r="Z7" s="642"/>
      <c r="AA7" s="642"/>
      <c r="AB7" s="642"/>
      <c r="AC7" s="642"/>
      <c r="AD7" s="642"/>
      <c r="AE7" s="642"/>
      <c r="AF7" s="802"/>
      <c r="AG7" s="802"/>
      <c r="AH7" s="802"/>
      <c r="AI7" s="802"/>
      <c r="AJ7" s="802"/>
      <c r="AK7" s="803"/>
      <c r="AL7" s="732" t="s">
        <v>821</v>
      </c>
      <c r="AM7" s="783">
        <f>'Gap data 2'!B6</f>
        <v>379935</v>
      </c>
      <c r="AN7" s="783">
        <f>'Gap data 2'!B7</f>
        <v>382844</v>
      </c>
      <c r="AO7" s="783">
        <f>'Gap data 2'!C6</f>
        <v>7382844</v>
      </c>
      <c r="AP7" s="783">
        <f>'Gap data 2'!C7</f>
        <v>7438375</v>
      </c>
      <c r="AQ7" s="783">
        <f>'Gap data 2'!D6</f>
        <v>239481</v>
      </c>
      <c r="AR7" s="783">
        <f>'Gap data 2'!D7</f>
        <v>242212</v>
      </c>
      <c r="AS7" s="783">
        <f>'Gap data 2'!E6</f>
        <v>4635265</v>
      </c>
      <c r="AT7" s="783">
        <f>'Gap data 2'!E7</f>
        <v>4674603</v>
      </c>
      <c r="AU7" s="783">
        <f>'Gap data 2'!F6</f>
        <v>1667187</v>
      </c>
      <c r="AV7" s="783">
        <f>'Gap data 2'!F7</f>
        <v>1674555</v>
      </c>
      <c r="AW7" s="783">
        <f>'Gap data 2'!G6</f>
        <v>512971</v>
      </c>
      <c r="AX7" s="783">
        <f>'Gap data 2'!G7</f>
        <v>513400</v>
      </c>
      <c r="AY7" s="783">
        <f>'Gap data 2'!H6</f>
        <v>5714709</v>
      </c>
      <c r="AZ7" s="783">
        <f>'Gap data 2'!H7</f>
        <v>5768140</v>
      </c>
      <c r="BA7" s="783">
        <f>'Gap data 2'!I6</f>
        <v>2502415</v>
      </c>
      <c r="BB7" s="783">
        <f>'Gap data 2'!I7</f>
        <v>2536953</v>
      </c>
    </row>
    <row r="8" spans="1:64" s="159" customFormat="1" ht="23.25" customHeight="1">
      <c r="A8" s="733"/>
      <c r="B8" s="733"/>
      <c r="C8" s="733"/>
      <c r="D8" s="733"/>
      <c r="E8" s="733"/>
      <c r="F8" s="887" t="s">
        <v>426</v>
      </c>
      <c r="G8" s="888"/>
      <c r="H8" s="888"/>
      <c r="I8" s="889"/>
      <c r="J8" s="890" t="s">
        <v>425</v>
      </c>
      <c r="K8" s="890"/>
      <c r="L8" s="890"/>
      <c r="M8" s="891"/>
      <c r="N8" s="892" t="s">
        <v>427</v>
      </c>
      <c r="O8" s="893"/>
      <c r="P8" s="893"/>
      <c r="Q8" s="894"/>
      <c r="R8" s="895" t="s">
        <v>428</v>
      </c>
      <c r="S8" s="895"/>
      <c r="T8" s="895"/>
      <c r="U8" s="895"/>
      <c r="V8" s="896" t="s">
        <v>429</v>
      </c>
      <c r="W8" s="897"/>
      <c r="X8" s="897"/>
      <c r="Y8" s="898"/>
      <c r="Z8" s="868" t="s">
        <v>431</v>
      </c>
      <c r="AA8" s="868"/>
      <c r="AB8" s="868"/>
      <c r="AC8" s="868"/>
      <c r="AD8" s="869" t="s">
        <v>432</v>
      </c>
      <c r="AE8" s="870"/>
      <c r="AF8" s="870"/>
      <c r="AG8" s="871"/>
      <c r="AH8" s="908" t="s">
        <v>430</v>
      </c>
      <c r="AI8" s="908"/>
      <c r="AJ8" s="908"/>
      <c r="AK8" s="909"/>
      <c r="AL8" s="733"/>
      <c r="AM8" s="905" t="s">
        <v>426</v>
      </c>
      <c r="AN8" s="906"/>
      <c r="AO8" s="907" t="s">
        <v>425</v>
      </c>
      <c r="AP8" s="907"/>
      <c r="AQ8" s="877" t="s">
        <v>427</v>
      </c>
      <c r="AR8" s="878"/>
      <c r="AS8" s="879" t="s">
        <v>428</v>
      </c>
      <c r="AT8" s="879"/>
      <c r="AU8" s="880" t="s">
        <v>429</v>
      </c>
      <c r="AV8" s="881"/>
      <c r="AW8" s="882" t="s">
        <v>431</v>
      </c>
      <c r="AX8" s="882"/>
      <c r="AY8" s="883" t="s">
        <v>432</v>
      </c>
      <c r="AZ8" s="884"/>
      <c r="BA8" s="885" t="s">
        <v>430</v>
      </c>
      <c r="BB8" s="886"/>
      <c r="BC8" s="875" t="s">
        <v>877</v>
      </c>
    </row>
    <row r="9" spans="1:64" ht="5.25" customHeight="1">
      <c r="A9" s="77"/>
      <c r="B9" s="629"/>
      <c r="C9" s="629"/>
      <c r="D9" s="629"/>
      <c r="F9" s="577"/>
      <c r="G9" s="77"/>
      <c r="H9" s="77"/>
      <c r="I9" s="578"/>
      <c r="N9" s="577"/>
      <c r="O9" s="77"/>
      <c r="P9" s="77"/>
      <c r="Q9" s="578"/>
      <c r="V9" s="577"/>
      <c r="W9" s="77"/>
      <c r="X9" s="77"/>
      <c r="Y9" s="578"/>
      <c r="AD9" s="577"/>
      <c r="AE9" s="77"/>
      <c r="AF9" s="77"/>
      <c r="AG9" s="578"/>
      <c r="AH9" s="77"/>
      <c r="AI9" s="77"/>
      <c r="AJ9" s="77"/>
      <c r="AK9" s="578"/>
      <c r="AM9" s="577"/>
      <c r="AN9" s="578"/>
      <c r="AO9" s="77"/>
      <c r="AP9" s="77"/>
      <c r="AQ9" s="577"/>
      <c r="AR9" s="578"/>
      <c r="AS9" s="77"/>
      <c r="AT9" s="77"/>
      <c r="AU9" s="577"/>
      <c r="AV9" s="578"/>
      <c r="AW9" s="77"/>
      <c r="AX9" s="77"/>
      <c r="AY9" s="577"/>
      <c r="AZ9" s="578"/>
      <c r="BA9" s="77"/>
      <c r="BB9" s="77"/>
      <c r="BC9" s="876"/>
      <c r="BE9" s="785"/>
      <c r="BF9" s="785"/>
      <c r="BG9" s="785"/>
      <c r="BH9" s="785"/>
      <c r="BI9" s="785"/>
      <c r="BJ9" s="785"/>
      <c r="BK9" s="785"/>
      <c r="BL9" s="785"/>
    </row>
    <row r="10" spans="1:64" ht="25.5">
      <c r="B10" s="747" t="s">
        <v>859</v>
      </c>
      <c r="C10" s="43" t="s">
        <v>409</v>
      </c>
      <c r="D10" s="747" t="s">
        <v>860</v>
      </c>
      <c r="E10" s="152" t="s">
        <v>404</v>
      </c>
      <c r="F10" s="899" t="s">
        <v>680</v>
      </c>
      <c r="G10" s="900"/>
      <c r="H10" s="901" t="s">
        <v>681</v>
      </c>
      <c r="I10" s="901"/>
      <c r="J10" s="900" t="s">
        <v>680</v>
      </c>
      <c r="K10" s="900"/>
      <c r="L10" s="901" t="s">
        <v>681</v>
      </c>
      <c r="M10" s="900"/>
      <c r="N10" s="899" t="s">
        <v>828</v>
      </c>
      <c r="O10" s="900"/>
      <c r="P10" s="901">
        <v>2013</v>
      </c>
      <c r="Q10" s="901"/>
      <c r="R10" s="900" t="s">
        <v>828</v>
      </c>
      <c r="S10" s="900"/>
      <c r="T10" s="901" t="s">
        <v>829</v>
      </c>
      <c r="U10" s="900"/>
      <c r="V10" s="899" t="s">
        <v>828</v>
      </c>
      <c r="W10" s="900"/>
      <c r="X10" s="901">
        <v>2013</v>
      </c>
      <c r="Y10" s="901"/>
      <c r="Z10" s="900" t="s">
        <v>828</v>
      </c>
      <c r="AA10" s="900"/>
      <c r="AB10" s="901" t="s">
        <v>829</v>
      </c>
      <c r="AC10" s="900"/>
      <c r="AD10" s="899" t="s">
        <v>680</v>
      </c>
      <c r="AE10" s="900"/>
      <c r="AF10" s="901" t="s">
        <v>681</v>
      </c>
      <c r="AG10" s="901"/>
      <c r="AH10" s="900" t="s">
        <v>680</v>
      </c>
      <c r="AI10" s="900"/>
      <c r="AJ10" s="901" t="s">
        <v>681</v>
      </c>
      <c r="AK10" s="901"/>
      <c r="AL10" s="794"/>
      <c r="AM10" s="776" t="s">
        <v>680</v>
      </c>
      <c r="AN10" s="775" t="s">
        <v>681</v>
      </c>
      <c r="AO10" s="194" t="s">
        <v>680</v>
      </c>
      <c r="AP10" s="194" t="s">
        <v>681</v>
      </c>
      <c r="AQ10" s="776" t="s">
        <v>828</v>
      </c>
      <c r="AR10" s="775">
        <v>2013</v>
      </c>
      <c r="AS10" s="194" t="s">
        <v>828</v>
      </c>
      <c r="AT10" s="194" t="s">
        <v>829</v>
      </c>
      <c r="AU10" s="776" t="s">
        <v>828</v>
      </c>
      <c r="AV10" s="775">
        <v>2013</v>
      </c>
      <c r="AW10" s="194" t="s">
        <v>828</v>
      </c>
      <c r="AX10" s="194" t="s">
        <v>829</v>
      </c>
      <c r="AY10" s="776" t="s">
        <v>680</v>
      </c>
      <c r="AZ10" s="775" t="s">
        <v>681</v>
      </c>
      <c r="BA10" s="194" t="s">
        <v>680</v>
      </c>
      <c r="BB10" s="194" t="s">
        <v>681</v>
      </c>
      <c r="BC10" s="876"/>
      <c r="BE10" s="791" t="s">
        <v>426</v>
      </c>
      <c r="BF10" s="792" t="s">
        <v>425</v>
      </c>
      <c r="BG10" s="778" t="s">
        <v>427</v>
      </c>
      <c r="BH10" s="779" t="s">
        <v>428</v>
      </c>
      <c r="BI10" s="780" t="s">
        <v>429</v>
      </c>
      <c r="BJ10" s="781" t="s">
        <v>431</v>
      </c>
      <c r="BK10" s="782" t="s">
        <v>432</v>
      </c>
      <c r="BL10" s="793" t="s">
        <v>430</v>
      </c>
    </row>
    <row r="11" spans="1:64" ht="5.25" customHeight="1">
      <c r="F11" s="577"/>
      <c r="G11" s="77"/>
      <c r="H11" s="77"/>
      <c r="I11" s="578"/>
      <c r="N11" s="577"/>
      <c r="O11" s="77"/>
      <c r="P11" s="77"/>
      <c r="Q11" s="578"/>
      <c r="V11" s="577"/>
      <c r="W11" s="77"/>
      <c r="X11" s="77"/>
      <c r="Y11" s="578"/>
      <c r="AD11" s="577"/>
      <c r="AE11" s="77"/>
      <c r="AF11" s="77"/>
      <c r="AG11" s="578"/>
      <c r="AH11" s="77"/>
      <c r="AI11" s="77"/>
      <c r="AJ11" s="77"/>
      <c r="AK11" s="578"/>
      <c r="AM11" s="577"/>
      <c r="AN11" s="578"/>
      <c r="AO11" s="77"/>
      <c r="AP11" s="77"/>
      <c r="AQ11" s="577"/>
      <c r="AR11" s="578"/>
      <c r="AS11" s="77"/>
      <c r="AT11" s="77"/>
      <c r="AU11" s="577"/>
      <c r="AV11" s="578"/>
      <c r="AW11" s="77"/>
      <c r="AX11" s="77"/>
      <c r="AY11" s="577"/>
      <c r="AZ11" s="578"/>
      <c r="BA11" s="77"/>
      <c r="BB11" s="77"/>
      <c r="BC11" s="71"/>
      <c r="BE11" s="577"/>
      <c r="BF11" s="77"/>
      <c r="BG11" s="77"/>
      <c r="BH11" s="77"/>
      <c r="BI11" s="77"/>
      <c r="BJ11" s="77"/>
      <c r="BK11" s="77"/>
      <c r="BL11" s="578"/>
    </row>
    <row r="12" spans="1:64" s="623" customFormat="1" ht="18.75">
      <c r="B12" s="796" t="s">
        <v>880</v>
      </c>
      <c r="C12" s="213"/>
      <c r="D12" s="213"/>
      <c r="E12" s="213"/>
      <c r="F12" s="630"/>
      <c r="G12" s="628"/>
      <c r="H12" s="628"/>
      <c r="I12" s="631"/>
      <c r="J12" s="213"/>
      <c r="K12" s="213"/>
      <c r="L12" s="213"/>
      <c r="M12" s="213"/>
      <c r="N12" s="630"/>
      <c r="O12" s="628"/>
      <c r="P12" s="628"/>
      <c r="Q12" s="631"/>
      <c r="R12" s="213"/>
      <c r="S12" s="213"/>
      <c r="T12" s="213"/>
      <c r="U12" s="213"/>
      <c r="V12" s="630"/>
      <c r="W12" s="628"/>
      <c r="X12" s="628"/>
      <c r="Y12" s="631"/>
      <c r="Z12" s="213"/>
      <c r="AA12" s="213"/>
      <c r="AB12" s="213"/>
      <c r="AC12" s="213"/>
      <c r="AD12" s="630"/>
      <c r="AE12" s="628"/>
      <c r="AF12" s="628"/>
      <c r="AG12" s="631"/>
      <c r="AH12" s="628"/>
      <c r="AI12" s="628"/>
      <c r="AJ12" s="628"/>
      <c r="AK12" s="631"/>
      <c r="AM12" s="795" t="s">
        <v>878</v>
      </c>
      <c r="AN12" s="797"/>
      <c r="AO12" s="798"/>
      <c r="AP12" s="798"/>
      <c r="AQ12" s="795"/>
      <c r="AR12" s="799"/>
      <c r="AS12" s="798"/>
      <c r="AT12" s="798"/>
      <c r="AU12" s="795"/>
      <c r="AV12" s="799"/>
      <c r="AW12" s="798"/>
      <c r="AX12" s="798"/>
      <c r="AY12" s="795"/>
      <c r="AZ12" s="799"/>
      <c r="BA12" s="798"/>
      <c r="BB12" s="798"/>
      <c r="BC12" s="800"/>
      <c r="BD12" s="801"/>
      <c r="BE12" s="795" t="s">
        <v>879</v>
      </c>
      <c r="BF12" s="798"/>
      <c r="BG12" s="798"/>
      <c r="BH12" s="798"/>
      <c r="BI12" s="798"/>
      <c r="BJ12" s="798"/>
      <c r="BK12" s="798"/>
      <c r="BL12" s="799"/>
    </row>
    <row r="13" spans="1:64" ht="4.5" customHeight="1">
      <c r="A13" s="576"/>
      <c r="F13" s="784"/>
      <c r="G13" s="785"/>
      <c r="H13" s="785"/>
      <c r="I13" s="789"/>
      <c r="N13" s="784"/>
      <c r="O13" s="785"/>
      <c r="P13" s="785"/>
      <c r="Q13" s="789"/>
      <c r="V13" s="784"/>
      <c r="W13" s="785"/>
      <c r="X13" s="785"/>
      <c r="Y13" s="789"/>
      <c r="AD13" s="784"/>
      <c r="AE13" s="785"/>
      <c r="AF13" s="785"/>
      <c r="AG13" s="789"/>
      <c r="AH13" s="77"/>
      <c r="AI13" s="77"/>
      <c r="AJ13" s="77"/>
      <c r="AK13" s="578"/>
      <c r="AM13" s="784"/>
      <c r="AN13" s="789"/>
      <c r="AO13" s="77"/>
      <c r="AP13" s="77"/>
      <c r="AQ13" s="784"/>
      <c r="AR13" s="789"/>
      <c r="AS13" s="77"/>
      <c r="AT13" s="77"/>
      <c r="AU13" s="784"/>
      <c r="AV13" s="789"/>
      <c r="AW13" s="77"/>
      <c r="AX13" s="77"/>
      <c r="AY13" s="784"/>
      <c r="AZ13" s="789"/>
      <c r="BA13" s="785"/>
      <c r="BB13" s="785"/>
      <c r="BC13" s="786"/>
      <c r="BE13" s="577"/>
      <c r="BF13" s="77"/>
      <c r="BG13" s="77"/>
      <c r="BH13" s="77"/>
      <c r="BI13" s="77"/>
      <c r="BJ13" s="77"/>
      <c r="BK13" s="77"/>
      <c r="BL13" s="578"/>
    </row>
    <row r="14" spans="1:64">
      <c r="B14" s="902" t="s">
        <v>3</v>
      </c>
      <c r="C14" s="872" t="s">
        <v>137</v>
      </c>
      <c r="D14" s="597" t="s">
        <v>4</v>
      </c>
      <c r="E14" s="619" t="s">
        <v>79</v>
      </c>
      <c r="F14" s="157">
        <f>IF(ISNUMBER(ACT!K8),ACT!K8,"")</f>
        <v>0</v>
      </c>
      <c r="G14" s="589" t="s">
        <v>812</v>
      </c>
      <c r="H14" s="158">
        <f>IF(ISNUMBER(ACT!L8),ACT!L8,"")</f>
        <v>0</v>
      </c>
      <c r="I14" s="588" t="s">
        <v>812</v>
      </c>
      <c r="J14" s="158">
        <f>IF(ISNUMBER(NSW!K8),NSW!K8,"")</f>
        <v>107.29600000000002</v>
      </c>
      <c r="K14" s="589" t="s">
        <v>812</v>
      </c>
      <c r="L14" s="158">
        <f>IF(ISNUMBER(NSW!L8),NSW!L8,"")</f>
        <v>3.16</v>
      </c>
      <c r="M14" s="588" t="s">
        <v>812</v>
      </c>
      <c r="N14" s="157" t="str">
        <f>IF(ISNUMBER(NT!K8),NT!K8,"")</f>
        <v/>
      </c>
      <c r="O14" s="589" t="s">
        <v>812</v>
      </c>
      <c r="P14" s="158">
        <f>IF(ISNUMBER(NT!L8),NT!L8,"")</f>
        <v>0</v>
      </c>
      <c r="Q14" s="588" t="s">
        <v>812</v>
      </c>
      <c r="R14" s="157" t="str">
        <f>IF(ISNUMBER(Qld!K8),Qld!K8,"")</f>
        <v/>
      </c>
      <c r="S14" s="589" t="s">
        <v>812</v>
      </c>
      <c r="T14" s="158">
        <f>IF(ISNUMBER(Qld!L8),Qld!L8,"")</f>
        <v>4466</v>
      </c>
      <c r="U14" s="588" t="s">
        <v>812</v>
      </c>
      <c r="V14" s="157" t="str">
        <f>IF(ISNUMBER(SA!K8),SA!K8,"")</f>
        <v/>
      </c>
      <c r="W14" s="589" t="s">
        <v>812</v>
      </c>
      <c r="X14" s="158">
        <f>IF(ISNUMBER(SA!L8),SA!L8,"")</f>
        <v>87.42</v>
      </c>
      <c r="Y14" s="588" t="s">
        <v>812</v>
      </c>
      <c r="Z14" s="157" t="str">
        <f>IF(ISNUMBER(TAS!K8),TAS!K8,"")</f>
        <v/>
      </c>
      <c r="AA14" s="589" t="s">
        <v>812</v>
      </c>
      <c r="AB14" s="158" t="str">
        <f>IF(ISNUMBER(TAS!L8),TAS!L8,"")</f>
        <v/>
      </c>
      <c r="AC14" s="588" t="s">
        <v>812</v>
      </c>
      <c r="AD14" s="157" t="str">
        <f>IF(ISNUMBER(Vic!K8),Vic!K8,"")</f>
        <v/>
      </c>
      <c r="AE14" s="596" t="s">
        <v>812</v>
      </c>
      <c r="AF14" s="158" t="str">
        <f>IF(ISNUMBER(Vic!L8),Vic!L8,"")</f>
        <v/>
      </c>
      <c r="AG14" s="593" t="s">
        <v>812</v>
      </c>
      <c r="AH14" s="157">
        <f>IF(ISNUMBER(WA!L8),WA!L8,"")</f>
        <v>288.22400000000005</v>
      </c>
      <c r="AI14" s="589" t="s">
        <v>812</v>
      </c>
      <c r="AJ14" s="158">
        <f>IF(ISNUMBER(WA!M8),WA!M8,"")</f>
        <v>127.6964</v>
      </c>
      <c r="AK14" s="588" t="s">
        <v>812</v>
      </c>
      <c r="AL14" s="767"/>
      <c r="AM14" s="599">
        <f>IF(ISNUMBER(ACT!K8),ACT!K8*1000000/AM$7,"")</f>
        <v>0</v>
      </c>
      <c r="AN14" s="600">
        <f>IF(ISNUMBER(ACT!L8),ACT!L8*1000000/AN$7,"")</f>
        <v>0</v>
      </c>
      <c r="AO14" s="601">
        <f>IF(ISNUMBER(NSW!K8),NSW!K8*1000000/AO$7,"")</f>
        <v>14.533152806696174</v>
      </c>
      <c r="AP14" s="601">
        <f>IF(ISNUMBER(NSW!L8),NSW!L8*1000000/AP$7,"")</f>
        <v>0.42482397028920965</v>
      </c>
      <c r="AQ14" s="599" t="str">
        <f>IF(ISNUMBER(NT!K8),NT!K8*1000000/AQ$7,"")</f>
        <v/>
      </c>
      <c r="AR14" s="600">
        <f>IF(ISNUMBER(NT!L8),NT!L8*1000000/AR$7,"")</f>
        <v>0</v>
      </c>
      <c r="AS14" s="601" t="str">
        <f>IF(ISNUMBER(Qld!K8),Qld!K8*1000000/AS$7,"")</f>
        <v/>
      </c>
      <c r="AT14" s="601">
        <f>IF(ISNUMBER(Qld!L8),Qld!L8*1000000/AT$7,"")</f>
        <v>955.37524790875284</v>
      </c>
      <c r="AU14" s="599" t="str">
        <f>IF(ISNUMBER(SA!K8),SA!K8*1000000/AU$7,"")</f>
        <v/>
      </c>
      <c r="AV14" s="600">
        <f>IF(ISNUMBER(SA!L8),SA!L8*1000000/AV$7,"")</f>
        <v>52.204914141368903</v>
      </c>
      <c r="AW14" s="601" t="str">
        <f>IF(ISNUMBER(TAS!K8),TAS!K8*1000000/AW$7,"")</f>
        <v/>
      </c>
      <c r="AX14" s="601" t="str">
        <f>IF(ISNUMBER(TAS!L8),TAS!L8*1000000/AX$7,"")</f>
        <v/>
      </c>
      <c r="AY14" s="599" t="str">
        <f>IF(ISNUMBER(Vic!K8),Vic!K8*1000000/AY$7,"")</f>
        <v/>
      </c>
      <c r="AZ14" s="600" t="str">
        <f>IF(ISNUMBER(Vic!L8),Vic!L8*1000000/AZ$7,"")</f>
        <v/>
      </c>
      <c r="BA14" s="606">
        <f>IF(ISNUMBER(WA!L8),WA!L8*1000000/BA$7,"")</f>
        <v>115.17833772575695</v>
      </c>
      <c r="BB14" s="601">
        <f>IF(ISNUMBER(WA!M8),WA!M8*1000000/BB$7,"")</f>
        <v>50.334554877445505</v>
      </c>
      <c r="BC14" s="616">
        <f t="shared" ref="BC14:BC45" si="0">IFERROR(AVERAGE(AM14:BB14),"")</f>
        <v>132.00567015892329</v>
      </c>
      <c r="BE14" s="599">
        <v>0</v>
      </c>
      <c r="BF14" s="601">
        <v>58.937886635299812</v>
      </c>
      <c r="BG14" s="601">
        <f>SUM([2]NT!M8:N8)</f>
        <v>0</v>
      </c>
      <c r="BH14" s="601">
        <v>954.59013786458411</v>
      </c>
      <c r="BI14" s="601">
        <v>82.324763651151898</v>
      </c>
      <c r="BJ14" s="601"/>
      <c r="BK14" s="601"/>
      <c r="BL14" s="600">
        <v>587.52375696622903</v>
      </c>
    </row>
    <row r="15" spans="1:64">
      <c r="B15" s="903"/>
      <c r="C15" s="873"/>
      <c r="D15" s="602" t="s">
        <v>138</v>
      </c>
      <c r="E15" s="620" t="s">
        <v>139</v>
      </c>
      <c r="F15" s="154">
        <f>IF(ISNUMBER(ACT!K9),ACT!K9,"")</f>
        <v>0</v>
      </c>
      <c r="G15" s="591" t="s">
        <v>812</v>
      </c>
      <c r="H15" s="155">
        <f>IF(ISNUMBER(ACT!L9),ACT!L9,"")</f>
        <v>0</v>
      </c>
      <c r="I15" s="590" t="s">
        <v>812</v>
      </c>
      <c r="J15" s="155">
        <f>IF(ISNUMBER(NSW!K9),NSW!K9,"")</f>
        <v>0</v>
      </c>
      <c r="K15" s="591" t="s">
        <v>812</v>
      </c>
      <c r="L15" s="155">
        <f>IF(ISNUMBER(NSW!L9),NSW!L9,"")</f>
        <v>0</v>
      </c>
      <c r="M15" s="592" t="s">
        <v>812</v>
      </c>
      <c r="N15" s="154" t="str">
        <f>IF(ISNUMBER(NT!K9),NT!K9,"")</f>
        <v/>
      </c>
      <c r="O15" s="591" t="s">
        <v>812</v>
      </c>
      <c r="P15" s="155">
        <f>IF(ISNUMBER(NT!L9),NT!L9,"")</f>
        <v>0</v>
      </c>
      <c r="Q15" s="592" t="s">
        <v>812</v>
      </c>
      <c r="R15" s="154" t="str">
        <f>IF(ISNUMBER(Qld!K9),Qld!K9,"")</f>
        <v/>
      </c>
      <c r="S15" s="591" t="s">
        <v>812</v>
      </c>
      <c r="T15" s="155">
        <f>IF(ISNUMBER(Qld!L9),Qld!L9,"")</f>
        <v>13</v>
      </c>
      <c r="U15" s="592" t="s">
        <v>812</v>
      </c>
      <c r="V15" s="154" t="str">
        <f>IF(ISNUMBER(SA!K9),SA!K9,"")</f>
        <v/>
      </c>
      <c r="W15" s="591" t="s">
        <v>812</v>
      </c>
      <c r="X15" s="155">
        <f>IF(ISNUMBER(SA!L9),SA!L9,"")</f>
        <v>0.15185306700000001</v>
      </c>
      <c r="Y15" s="592" t="s">
        <v>812</v>
      </c>
      <c r="Z15" s="154" t="str">
        <f>IF(ISNUMBER(TAS!K9),TAS!K9,"")</f>
        <v/>
      </c>
      <c r="AA15" s="591" t="s">
        <v>812</v>
      </c>
      <c r="AB15" s="155" t="str">
        <f>IF(ISNUMBER(TAS!L9),TAS!L9,"")</f>
        <v/>
      </c>
      <c r="AC15" s="592" t="s">
        <v>812</v>
      </c>
      <c r="AD15" s="154" t="str">
        <f>IF(ISNUMBER(Vic!K9),Vic!K9,"")</f>
        <v/>
      </c>
      <c r="AE15" s="595" t="s">
        <v>812</v>
      </c>
      <c r="AF15" s="155" t="str">
        <f>IF(ISNUMBER(Vic!L9),Vic!L9,"")</f>
        <v/>
      </c>
      <c r="AG15" s="594" t="s">
        <v>812</v>
      </c>
      <c r="AH15" s="154">
        <f>IF(ISNUMBER(WA!L9),WA!L9,"")</f>
        <v>0</v>
      </c>
      <c r="AI15" s="591" t="s">
        <v>812</v>
      </c>
      <c r="AJ15" s="155">
        <f>IF(ISNUMBER(WA!M9),WA!M9,"")</f>
        <v>0</v>
      </c>
      <c r="AK15" s="592" t="s">
        <v>812</v>
      </c>
      <c r="AL15" s="768"/>
      <c r="AM15" s="604">
        <f>IF(ISNUMBER(ACT!K9),ACT!K9*1000000/AM$7,"")</f>
        <v>0</v>
      </c>
      <c r="AN15" s="605">
        <f>IF(ISNUMBER(ACT!L9),ACT!L9*1000000/AN$7,"")</f>
        <v>0</v>
      </c>
      <c r="AO15" s="606">
        <f>IF(ISNUMBER(NSW!K9),NSW!K9*1000000/AO$7,"")</f>
        <v>0</v>
      </c>
      <c r="AP15" s="606">
        <f>IF(ISNUMBER(NSW!L9),NSW!L9*1000000/AP$7,"")</f>
        <v>0</v>
      </c>
      <c r="AQ15" s="604" t="str">
        <f>IF(ISNUMBER(NT!K9),NT!K9*1000000/AQ$7,"")</f>
        <v/>
      </c>
      <c r="AR15" s="605">
        <f>IF(ISNUMBER(NT!L9),NT!L9*1000000/AR$7,"")</f>
        <v>0</v>
      </c>
      <c r="AS15" s="606" t="str">
        <f>IF(ISNUMBER(Qld!K9),Qld!K9*1000000/AS$7,"")</f>
        <v/>
      </c>
      <c r="AT15" s="606">
        <f>IF(ISNUMBER(Qld!L9),Qld!L9*1000000/AT$7,"")</f>
        <v>2.7809848237379731</v>
      </c>
      <c r="AU15" s="604" t="str">
        <f>IF(ISNUMBER(SA!K9),SA!K9*1000000/AU$7,"")</f>
        <v/>
      </c>
      <c r="AV15" s="605">
        <f>IF(ISNUMBER(SA!L9),SA!L9*1000000/AV$7,"")</f>
        <v>9.0682639268342941E-2</v>
      </c>
      <c r="AW15" s="606" t="str">
        <f>IF(ISNUMBER(TAS!K9),TAS!K9*1000000/AW$7,"")</f>
        <v/>
      </c>
      <c r="AX15" s="606" t="str">
        <f>IF(ISNUMBER(TAS!L9),TAS!L9*1000000/AX$7,"")</f>
        <v/>
      </c>
      <c r="AY15" s="604" t="str">
        <f>IF(ISNUMBER(Vic!K9),Vic!K9*1000000/AY$7,"")</f>
        <v/>
      </c>
      <c r="AZ15" s="605" t="str">
        <f>IF(ISNUMBER(Vic!L9),Vic!L9*1000000/AZ$7,"")</f>
        <v/>
      </c>
      <c r="BA15" s="606">
        <f>IF(ISNUMBER(WA!L9),WA!L9*1000000/BA$7,"")</f>
        <v>0</v>
      </c>
      <c r="BB15" s="606">
        <f>IF(ISNUMBER(WA!M9),WA!M9*1000000/BB$7,"")</f>
        <v>0</v>
      </c>
      <c r="BC15" s="617">
        <f t="shared" si="0"/>
        <v>0.31907416255625731</v>
      </c>
      <c r="BE15" s="604">
        <v>0</v>
      </c>
      <c r="BF15" s="606">
        <v>0</v>
      </c>
      <c r="BG15" s="606">
        <f>SUM([2]NT!M9:N9)</f>
        <v>0</v>
      </c>
      <c r="BH15" s="606">
        <v>0</v>
      </c>
      <c r="BI15" s="606"/>
      <c r="BJ15" s="606"/>
      <c r="BK15" s="606"/>
      <c r="BL15" s="605"/>
    </row>
    <row r="16" spans="1:64">
      <c r="B16" s="904"/>
      <c r="C16" s="874"/>
      <c r="D16" s="602" t="s">
        <v>81</v>
      </c>
      <c r="E16" s="620" t="s">
        <v>80</v>
      </c>
      <c r="F16" s="774">
        <f>IF(ISNUMBER(ACT!K10),ACT!K10,"")</f>
        <v>0</v>
      </c>
      <c r="G16" s="770" t="s">
        <v>812</v>
      </c>
      <c r="H16" s="769">
        <f>IF(ISNUMBER(ACT!L10),ACT!L10,"")</f>
        <v>0</v>
      </c>
      <c r="I16" s="771" t="s">
        <v>812</v>
      </c>
      <c r="J16" s="769">
        <f>IF(ISNUMBER(NSW!K10),NSW!K10,"")</f>
        <v>0.90449999999999997</v>
      </c>
      <c r="K16" s="770" t="s">
        <v>812</v>
      </c>
      <c r="L16" s="769">
        <f>IF(ISNUMBER(NSW!L10),NSW!L10,"")</f>
        <v>0.11499999999999999</v>
      </c>
      <c r="M16" s="771" t="s">
        <v>812</v>
      </c>
      <c r="N16" s="774" t="str">
        <f>IF(ISNUMBER(NT!K10),NT!K10,"")</f>
        <v/>
      </c>
      <c r="O16" s="770" t="s">
        <v>812</v>
      </c>
      <c r="P16" s="769">
        <f>IF(ISNUMBER(NT!L10),NT!L10,"")</f>
        <v>0</v>
      </c>
      <c r="Q16" s="771" t="s">
        <v>812</v>
      </c>
      <c r="R16" s="774" t="str">
        <f>IF(ISNUMBER(Qld!K10),Qld!K10,"")</f>
        <v/>
      </c>
      <c r="S16" s="770" t="s">
        <v>812</v>
      </c>
      <c r="T16" s="769">
        <f>IF(ISNUMBER(Qld!L10),Qld!L10,"")</f>
        <v>15</v>
      </c>
      <c r="U16" s="771" t="s">
        <v>812</v>
      </c>
      <c r="V16" s="774" t="str">
        <f>IF(ISNUMBER(SA!K10),SA!K10,"")</f>
        <v/>
      </c>
      <c r="W16" s="770" t="s">
        <v>812</v>
      </c>
      <c r="X16" s="769">
        <f>IF(ISNUMBER(SA!L10),SA!L10,"")</f>
        <v>13.36</v>
      </c>
      <c r="Y16" s="771" t="s">
        <v>812</v>
      </c>
      <c r="Z16" s="774" t="str">
        <f>IF(ISNUMBER(TAS!K10),TAS!K10,"")</f>
        <v/>
      </c>
      <c r="AA16" s="770" t="s">
        <v>812</v>
      </c>
      <c r="AB16" s="769" t="str">
        <f>IF(ISNUMBER(TAS!L10),TAS!L10,"")</f>
        <v/>
      </c>
      <c r="AC16" s="771" t="s">
        <v>812</v>
      </c>
      <c r="AD16" s="774">
        <f>IF(ISNUMBER(Vic!K10),Vic!K10,"")</f>
        <v>23.023999999999994</v>
      </c>
      <c r="AE16" s="772" t="s">
        <v>812</v>
      </c>
      <c r="AF16" s="769">
        <f>IF(ISNUMBER(Vic!L10),Vic!L10,"")</f>
        <v>3.0680000000000001</v>
      </c>
      <c r="AG16" s="773" t="s">
        <v>812</v>
      </c>
      <c r="AH16" s="774">
        <f>IF(ISNUMBER(WA!L10),WA!L10,"")</f>
        <v>29.312000000000001</v>
      </c>
      <c r="AI16" s="770" t="s">
        <v>812</v>
      </c>
      <c r="AJ16" s="769">
        <f>IF(ISNUMBER(WA!M10),WA!M10,"")</f>
        <v>22.882000000000001</v>
      </c>
      <c r="AK16" s="771" t="s">
        <v>812</v>
      </c>
      <c r="AL16" s="768"/>
      <c r="AM16" s="604">
        <f>IF(ISNUMBER(ACT!K10),ACT!K10*1000000/AM$7,"")</f>
        <v>0</v>
      </c>
      <c r="AN16" s="605">
        <f>IF(ISNUMBER(ACT!L10),ACT!L10*1000000/AN$7,"")</f>
        <v>0</v>
      </c>
      <c r="AO16" s="606">
        <f>IF(ISNUMBER(NSW!K10),NSW!K10*1000000/AO$7,"")</f>
        <v>0.12251376298889696</v>
      </c>
      <c r="AP16" s="606">
        <f>IF(ISNUMBER(NSW!L10),NSW!L10*1000000/AP$7,"")</f>
        <v>1.5460366007360477E-2</v>
      </c>
      <c r="AQ16" s="604" t="str">
        <f>IF(ISNUMBER(NT!K10),NT!K10*1000000/AQ$7,"")</f>
        <v/>
      </c>
      <c r="AR16" s="605">
        <f>IF(ISNUMBER(NT!L10),NT!L10*1000000/AR$7,"")</f>
        <v>0</v>
      </c>
      <c r="AS16" s="606" t="str">
        <f>IF(ISNUMBER(Qld!K10),Qld!K10*1000000/AS$7,"")</f>
        <v/>
      </c>
      <c r="AT16" s="606">
        <f>IF(ISNUMBER(Qld!L10),Qld!L10*1000000/AT$7,"")</f>
        <v>3.2088286427745842</v>
      </c>
      <c r="AU16" s="604" t="str">
        <f>IF(ISNUMBER(SA!K10),SA!K10*1000000/AU$7,"")</f>
        <v/>
      </c>
      <c r="AV16" s="605">
        <f>IF(ISNUMBER(SA!L10),SA!L10*1000000/AV$7,"")</f>
        <v>7.9782389948374348</v>
      </c>
      <c r="AW16" s="606" t="str">
        <f>IF(ISNUMBER(TAS!K10),TAS!K10*1000000/AW$7,"")</f>
        <v/>
      </c>
      <c r="AX16" s="606" t="str">
        <f>IF(ISNUMBER(TAS!L10),TAS!L10*1000000/AX$7,"")</f>
        <v/>
      </c>
      <c r="AY16" s="604">
        <f>IF(ISNUMBER(Vic!K10),Vic!K10*1000000/AY$7,"")</f>
        <v>4.0289015591170072</v>
      </c>
      <c r="AZ16" s="605">
        <f>IF(ISNUMBER(Vic!L10),Vic!L10*1000000/AZ$7,"")</f>
        <v>0.53188722881206074</v>
      </c>
      <c r="BA16" s="606">
        <f>IF(ISNUMBER(WA!L10),WA!L10*1000000/BA$7,"")</f>
        <v>11.713484773708597</v>
      </c>
      <c r="BB16" s="606">
        <f>IF(ISNUMBER(WA!M10),WA!M10*1000000/BB$7,"")</f>
        <v>9.0194812438385732</v>
      </c>
      <c r="BC16" s="787">
        <f t="shared" si="0"/>
        <v>3.3289815065531374</v>
      </c>
      <c r="BE16" s="604">
        <v>0</v>
      </c>
      <c r="BF16" s="606">
        <v>12.280849068621858</v>
      </c>
      <c r="BG16" s="606">
        <f>SUM([2]NT!M10:N10)</f>
        <v>0</v>
      </c>
      <c r="BH16" s="606">
        <v>118.17484512766515</v>
      </c>
      <c r="BI16" s="606">
        <v>8.6507626417845174</v>
      </c>
      <c r="BJ16" s="606"/>
      <c r="BK16" s="606">
        <v>4.9595380479130693</v>
      </c>
      <c r="BL16" s="605">
        <v>19.317047470923175</v>
      </c>
    </row>
    <row r="17" spans="2:64">
      <c r="B17" s="607" t="s">
        <v>5</v>
      </c>
      <c r="C17" s="608" t="s">
        <v>6</v>
      </c>
      <c r="D17" s="609" t="s">
        <v>7</v>
      </c>
      <c r="E17" s="621" t="s">
        <v>82</v>
      </c>
      <c r="F17" s="769">
        <f>IF(ISNUMBER(ACT!K11),ACT!K11,"")</f>
        <v>0.11799999999999999</v>
      </c>
      <c r="G17" s="770" t="s">
        <v>812</v>
      </c>
      <c r="H17" s="769">
        <f>IF(ISNUMBER(ACT!L11),ACT!L11,"")</f>
        <v>0.249</v>
      </c>
      <c r="I17" s="771" t="s">
        <v>812</v>
      </c>
      <c r="J17" s="155">
        <f>IF(ISNUMBER(NSW!K11),NSW!K11,"")</f>
        <v>5978.9361260000087</v>
      </c>
      <c r="K17" s="770" t="s">
        <v>812</v>
      </c>
      <c r="L17" s="155">
        <f>IF(ISNUMBER(NSW!L11),NSW!L11,"")</f>
        <v>8543.0020150000018</v>
      </c>
      <c r="M17" s="771" t="s">
        <v>812</v>
      </c>
      <c r="N17" s="154" t="str">
        <f>IF(ISNUMBER(NT!K11),NT!K11,"")</f>
        <v/>
      </c>
      <c r="O17" s="770" t="s">
        <v>812</v>
      </c>
      <c r="P17" s="155">
        <f>IF(ISNUMBER(NT!L11),NT!L11,"")</f>
        <v>32.569310807190057</v>
      </c>
      <c r="Q17" s="771" t="s">
        <v>812</v>
      </c>
      <c r="R17" s="154" t="str">
        <f>IF(ISNUMBER(Qld!K11),Qld!K11,"")</f>
        <v/>
      </c>
      <c r="S17" s="770" t="s">
        <v>812</v>
      </c>
      <c r="T17" s="155">
        <f>IF(ISNUMBER(Qld!L11),Qld!L11,"")</f>
        <v>14092</v>
      </c>
      <c r="U17" s="771" t="s">
        <v>812</v>
      </c>
      <c r="V17" s="154" t="str">
        <f>IF(ISNUMBER(SA!K11),SA!K11,"")</f>
        <v/>
      </c>
      <c r="W17" s="770" t="s">
        <v>812</v>
      </c>
      <c r="X17" s="155">
        <f>IF(ISNUMBER(SA!L11),SA!L11,"")</f>
        <v>718.36</v>
      </c>
      <c r="Y17" s="771" t="s">
        <v>812</v>
      </c>
      <c r="Z17" s="154" t="str">
        <f>IF(ISNUMBER(TAS!K11),TAS!K11,"")</f>
        <v/>
      </c>
      <c r="AA17" s="770" t="s">
        <v>812</v>
      </c>
      <c r="AB17" s="155">
        <f>IF(ISNUMBER(TAS!L11),TAS!L11,"")</f>
        <v>31.526</v>
      </c>
      <c r="AC17" s="771" t="s">
        <v>812</v>
      </c>
      <c r="AD17" s="154">
        <f>IF(ISNUMBER(Vic!K11),Vic!K11,"")</f>
        <v>3029.8910000000001</v>
      </c>
      <c r="AE17" s="772" t="s">
        <v>812</v>
      </c>
      <c r="AF17" s="155">
        <f>IF(ISNUMBER(Vic!L11),Vic!L11,"")</f>
        <v>4143.1769999999997</v>
      </c>
      <c r="AG17" s="773" t="s">
        <v>812</v>
      </c>
      <c r="AH17" s="154">
        <f>IF(ISNUMBER(WA!L11),WA!L11,"")</f>
        <v>2014.0300999999995</v>
      </c>
      <c r="AI17" s="770" t="s">
        <v>812</v>
      </c>
      <c r="AJ17" s="155">
        <f>IF(ISNUMBER(WA!M11),WA!M11,"")</f>
        <v>1880.1852999999981</v>
      </c>
      <c r="AK17" s="771" t="s">
        <v>812</v>
      </c>
      <c r="AL17" s="768"/>
      <c r="AM17" s="618">
        <f>IF(ISNUMBER(ACT!K11),ACT!K11*1000000/AM$7,"")</f>
        <v>0.3105794412202087</v>
      </c>
      <c r="AN17" s="612">
        <f>IF(ISNUMBER(ACT!L11),ACT!L11*1000000/AN$7,"")</f>
        <v>0.65039546133673243</v>
      </c>
      <c r="AO17" s="611">
        <f>IF(ISNUMBER(NSW!K11),NSW!K11*1000000/AO$7,"")</f>
        <v>809.84186121229277</v>
      </c>
      <c r="AP17" s="611">
        <f>IF(ISNUMBER(NSW!L11),NSW!L11*1000000/AP$7,"")</f>
        <v>1148.5038082914618</v>
      </c>
      <c r="AQ17" s="618" t="str">
        <f>IF(ISNUMBER(NT!K11),NT!K11*1000000/AQ$7,"")</f>
        <v/>
      </c>
      <c r="AR17" s="612">
        <f>IF(ISNUMBER(NT!L11),NT!L11*1000000/AR$7,"")</f>
        <v>134.46613217838114</v>
      </c>
      <c r="AS17" s="611" t="str">
        <f>IF(ISNUMBER(Qld!K11),Qld!K11*1000000/AS$7,"")</f>
        <v/>
      </c>
      <c r="AT17" s="611">
        <f>IF(ISNUMBER(Qld!L11),Qld!L11*1000000/AT$7,"")</f>
        <v>3014.5875489319628</v>
      </c>
      <c r="AU17" s="618" t="str">
        <f>IF(ISNUMBER(SA!K11),SA!K11*1000000/AU$7,"")</f>
        <v/>
      </c>
      <c r="AV17" s="612">
        <f>IF(ISNUMBER(SA!L11),SA!L11*1000000/AV$7,"")</f>
        <v>428.98561110265115</v>
      </c>
      <c r="AW17" s="611" t="str">
        <f>IF(ISNUMBER(TAS!K11),TAS!K11*1000000/AW$7,"")</f>
        <v/>
      </c>
      <c r="AX17" s="611">
        <f>IF(ISNUMBER(TAS!L11),TAS!L11*1000000/AX$7,"")</f>
        <v>61.40631086871835</v>
      </c>
      <c r="AY17" s="618">
        <f>IF(ISNUMBER(Vic!K11),Vic!K11*1000000/AY$7,"")</f>
        <v>530.19165105344825</v>
      </c>
      <c r="AZ17" s="612">
        <f>IF(ISNUMBER(Vic!L11),Vic!L11*1000000/AZ$7,"")</f>
        <v>718.28648403124737</v>
      </c>
      <c r="BA17" s="611">
        <f>IF(ISNUMBER(WA!L11),WA!L11*1000000/BA$7,"")</f>
        <v>804.83456980556764</v>
      </c>
      <c r="BB17" s="611">
        <f>IF(ISNUMBER(WA!M11),WA!M11*1000000/BB$7,"")</f>
        <v>741.11948467314846</v>
      </c>
      <c r="BC17" s="616">
        <f t="shared" si="0"/>
        <v>699.43203642095307</v>
      </c>
      <c r="BE17" s="618">
        <v>7.8666954663779336</v>
      </c>
      <c r="BF17" s="611">
        <v>38313.64959280847</v>
      </c>
      <c r="BG17" s="611">
        <f>SUM([2]NT!M11:N11)</f>
        <v>13.629999999999999</v>
      </c>
      <c r="BH17" s="611">
        <v>2875.5878981065189</v>
      </c>
      <c r="BI17" s="611">
        <v>323.25685683940213</v>
      </c>
      <c r="BJ17" s="611">
        <v>12.246565388223654</v>
      </c>
      <c r="BK17" s="611">
        <v>2406.5861608163104</v>
      </c>
      <c r="BL17" s="612">
        <v>1251.5478313698013</v>
      </c>
    </row>
    <row r="18" spans="2:64">
      <c r="B18" s="607" t="s">
        <v>8</v>
      </c>
      <c r="C18" s="613" t="s">
        <v>140</v>
      </c>
      <c r="D18" s="602" t="s">
        <v>9</v>
      </c>
      <c r="E18" s="620" t="s">
        <v>83</v>
      </c>
      <c r="F18" s="155">
        <f>IF(ISNUMBER(ACT!K12),ACT!K12,"")</f>
        <v>218.67</v>
      </c>
      <c r="G18" s="591" t="s">
        <v>812</v>
      </c>
      <c r="H18" s="155">
        <f>IF(ISNUMBER(ACT!L12),ACT!L12,"")</f>
        <v>230.93</v>
      </c>
      <c r="I18" s="592" t="s">
        <v>812</v>
      </c>
      <c r="J18" s="158">
        <f>IF(ISNUMBER(NSW!K12),NSW!K12,"")</f>
        <v>1506.2928000000006</v>
      </c>
      <c r="K18" s="591" t="s">
        <v>812</v>
      </c>
      <c r="L18" s="158">
        <f>IF(ISNUMBER(NSW!L12),NSW!L12,"")</f>
        <v>2658.3323200000009</v>
      </c>
      <c r="M18" s="592" t="s">
        <v>812</v>
      </c>
      <c r="N18" s="157" t="str">
        <f>IF(ISNUMBER(NT!K12),NT!K12,"")</f>
        <v/>
      </c>
      <c r="O18" s="591" t="s">
        <v>812</v>
      </c>
      <c r="P18" s="158">
        <f>IF(ISNUMBER(NT!L12),NT!L12,"")</f>
        <v>302.96866597532119</v>
      </c>
      <c r="Q18" s="592" t="s">
        <v>812</v>
      </c>
      <c r="R18" s="157" t="str">
        <f>IF(ISNUMBER(Qld!K12),Qld!K12,"")</f>
        <v/>
      </c>
      <c r="S18" s="591" t="s">
        <v>812</v>
      </c>
      <c r="T18" s="158">
        <f>IF(ISNUMBER(Qld!L12),Qld!L12,"")</f>
        <v>223589</v>
      </c>
      <c r="U18" s="592" t="s">
        <v>812</v>
      </c>
      <c r="V18" s="157" t="str">
        <f>IF(ISNUMBER(SA!K12),SA!K12,"")</f>
        <v/>
      </c>
      <c r="W18" s="591" t="s">
        <v>812</v>
      </c>
      <c r="X18" s="158">
        <f>IF(ISNUMBER(SA!L12),SA!L12,"")</f>
        <v>27674.179999999997</v>
      </c>
      <c r="Y18" s="592" t="s">
        <v>812</v>
      </c>
      <c r="Z18" s="157" t="str">
        <f>IF(ISNUMBER(TAS!K12),TAS!K12,"")</f>
        <v/>
      </c>
      <c r="AA18" s="591" t="s">
        <v>812</v>
      </c>
      <c r="AB18" s="158">
        <f>IF(ISNUMBER(TAS!L12),TAS!L12,"")</f>
        <v>0.6</v>
      </c>
      <c r="AC18" s="592" t="s">
        <v>812</v>
      </c>
      <c r="AD18" s="157">
        <f>IF(ISNUMBER(Vic!K12),Vic!K12,"")</f>
        <v>2997.065000000001</v>
      </c>
      <c r="AE18" s="595" t="s">
        <v>812</v>
      </c>
      <c r="AF18" s="158">
        <f>IF(ISNUMBER(Vic!L12),Vic!L12,"")</f>
        <v>3499.6499999999996</v>
      </c>
      <c r="AG18" s="594" t="s">
        <v>812</v>
      </c>
      <c r="AH18" s="154">
        <f>IF(ISNUMBER(WA!L12),WA!L12,"")</f>
        <v>42102.600259999897</v>
      </c>
      <c r="AI18" s="591" t="s">
        <v>812</v>
      </c>
      <c r="AJ18" s="158">
        <f>IF(ISNUMBER(WA!M12),WA!M12,"")</f>
        <v>46230.26849999986</v>
      </c>
      <c r="AK18" s="592" t="s">
        <v>812</v>
      </c>
      <c r="AL18" s="768"/>
      <c r="AM18" s="604">
        <f>IF(ISNUMBER(ACT!K12),ACT!K12*1000000/AM$7,"")</f>
        <v>575.54581704765292</v>
      </c>
      <c r="AN18" s="605">
        <f>IF(ISNUMBER(ACT!L12),ACT!L12*1000000/AN$7,"")</f>
        <v>603.19607986542826</v>
      </c>
      <c r="AO18" s="606">
        <f>IF(ISNUMBER(NSW!K12),NSW!K12*1000000/AO$7,"")</f>
        <v>204.02609075852081</v>
      </c>
      <c r="AP18" s="606">
        <f>IF(ISNUMBER(NSW!L12),NSW!L12*1000000/AP$7,"")</f>
        <v>357.38078814257159</v>
      </c>
      <c r="AQ18" s="604" t="str">
        <f>IF(ISNUMBER(NT!K12),NT!K12*1000000/AQ$7,"")</f>
        <v/>
      </c>
      <c r="AR18" s="605">
        <f>IF(ISNUMBER(NT!L12),NT!L12*1000000/AR$7,"")</f>
        <v>1250.8408583196588</v>
      </c>
      <c r="AS18" s="606" t="str">
        <f>IF(ISNUMBER(Qld!K12),Qld!K12*1000000/AS$7,"")</f>
        <v/>
      </c>
      <c r="AT18" s="606">
        <f>IF(ISNUMBER(Qld!L12),Qld!L12*1000000/AT$7,"")</f>
        <v>47830.585827288436</v>
      </c>
      <c r="AU18" s="604" t="str">
        <f>IF(ISNUMBER(SA!K12),SA!K12*1000000/AU$7,"")</f>
        <v/>
      </c>
      <c r="AV18" s="605">
        <f>IF(ISNUMBER(SA!L12),SA!L12*1000000/AV$7,"")</f>
        <v>16526.289073813638</v>
      </c>
      <c r="AW18" s="606" t="str">
        <f>IF(ISNUMBER(TAS!K12),TAS!K12*1000000/AW$7,"")</f>
        <v/>
      </c>
      <c r="AX18" s="606">
        <f>IF(ISNUMBER(TAS!L12),TAS!L12*1000000/AX$7,"")</f>
        <v>1.168679392286716</v>
      </c>
      <c r="AY18" s="604">
        <f>IF(ISNUMBER(Vic!K12),Vic!K12*1000000/AY$7,"")</f>
        <v>524.44752654947104</v>
      </c>
      <c r="AZ18" s="605">
        <f>IF(ISNUMBER(Vic!L12),Vic!L12*1000000/AZ$7,"")</f>
        <v>606.72071066236254</v>
      </c>
      <c r="BA18" s="606">
        <f>IF(ISNUMBER(WA!L12),WA!L12*1000000/BA$7,"")</f>
        <v>16824.78735941077</v>
      </c>
      <c r="BB18" s="606">
        <f>IF(ISNUMBER(WA!M12),WA!M12*1000000/BB$7,"")</f>
        <v>18222.753239811642</v>
      </c>
      <c r="BC18" s="616">
        <f t="shared" si="0"/>
        <v>8627.3118375885369</v>
      </c>
      <c r="BE18" s="604">
        <v>10.402527532338961</v>
      </c>
      <c r="BF18" s="606">
        <v>13899.472938054842</v>
      </c>
      <c r="BG18" s="606">
        <f>SUM([2]NT!M12:N12)</f>
        <v>126.79</v>
      </c>
      <c r="BH18" s="606">
        <v>36655.648535543813</v>
      </c>
      <c r="BI18" s="606">
        <v>39592.057718445343</v>
      </c>
      <c r="BJ18" s="606">
        <v>0.36152222548261709</v>
      </c>
      <c r="BK18" s="606">
        <v>1525.6826414606435</v>
      </c>
      <c r="BL18" s="605">
        <v>36283.425834304711</v>
      </c>
    </row>
    <row r="19" spans="2:64">
      <c r="B19" s="902" t="s">
        <v>10</v>
      </c>
      <c r="C19" s="872" t="s">
        <v>11</v>
      </c>
      <c r="D19" s="597" t="s">
        <v>12</v>
      </c>
      <c r="E19" s="619" t="s">
        <v>84</v>
      </c>
      <c r="F19" s="157">
        <f>IF(ISNUMBER(ACT!K13),ACT!K13,"")</f>
        <v>0</v>
      </c>
      <c r="G19" s="589" t="s">
        <v>812</v>
      </c>
      <c r="H19" s="158">
        <f>IF(ISNUMBER(ACT!L13),ACT!L13,"")</f>
        <v>0</v>
      </c>
      <c r="I19" s="588" t="s">
        <v>812</v>
      </c>
      <c r="J19" s="158">
        <f>IF(ISNUMBER(NSW!K13),NSW!K13,"")</f>
        <v>0</v>
      </c>
      <c r="K19" s="589" t="s">
        <v>812</v>
      </c>
      <c r="L19" s="158">
        <f>IF(ISNUMBER(NSW!L13),NSW!L13,"")</f>
        <v>0</v>
      </c>
      <c r="M19" s="588" t="s">
        <v>812</v>
      </c>
      <c r="N19" s="157" t="str">
        <f>IF(ISNUMBER(NT!K13),NT!K13,"")</f>
        <v/>
      </c>
      <c r="O19" s="589" t="s">
        <v>812</v>
      </c>
      <c r="P19" s="158">
        <f>IF(ISNUMBER(NT!L13),NT!L13,"")</f>
        <v>66.548445046239408</v>
      </c>
      <c r="Q19" s="588" t="s">
        <v>812</v>
      </c>
      <c r="R19" s="157" t="str">
        <f>IF(ISNUMBER(Qld!K13),Qld!K13,"")</f>
        <v/>
      </c>
      <c r="S19" s="589" t="s">
        <v>812</v>
      </c>
      <c r="T19" s="158">
        <f>IF(ISNUMBER(Qld!L13),Qld!L13,"")</f>
        <v>243</v>
      </c>
      <c r="U19" s="588" t="s">
        <v>812</v>
      </c>
      <c r="V19" s="157" t="str">
        <f>IF(ISNUMBER(SA!K13),SA!K13,"")</f>
        <v/>
      </c>
      <c r="W19" s="589" t="s">
        <v>812</v>
      </c>
      <c r="X19" s="158">
        <f>IF(ISNUMBER(SA!L13),SA!L13,"")</f>
        <v>48.239999999999995</v>
      </c>
      <c r="Y19" s="588" t="s">
        <v>812</v>
      </c>
      <c r="Z19" s="157" t="str">
        <f>IF(ISNUMBER(TAS!K13),TAS!K13,"")</f>
        <v/>
      </c>
      <c r="AA19" s="589" t="s">
        <v>812</v>
      </c>
      <c r="AB19" s="158" t="str">
        <f>IF(ISNUMBER(TAS!L13),TAS!L13,"")</f>
        <v/>
      </c>
      <c r="AC19" s="588" t="s">
        <v>812</v>
      </c>
      <c r="AD19" s="157">
        <f>IF(ISNUMBER(Vic!K13),Vic!K13,"")</f>
        <v>10.456000000000001</v>
      </c>
      <c r="AE19" s="596" t="s">
        <v>812</v>
      </c>
      <c r="AF19" s="158">
        <f>IF(ISNUMBER(Vic!L13),Vic!L13,"")</f>
        <v>3</v>
      </c>
      <c r="AG19" s="593" t="s">
        <v>812</v>
      </c>
      <c r="AH19" s="157">
        <f>IF(ISNUMBER(WA!L13),WA!L13,"")</f>
        <v>0.76</v>
      </c>
      <c r="AI19" s="589" t="s">
        <v>812</v>
      </c>
      <c r="AJ19" s="158">
        <f>IF(ISNUMBER(WA!M13),WA!M13,"")</f>
        <v>1.32</v>
      </c>
      <c r="AK19" s="588" t="s">
        <v>812</v>
      </c>
      <c r="AL19" s="768"/>
      <c r="AM19" s="599">
        <f>IF(ISNUMBER(ACT!K13),ACT!K13*1000000/AM$7,"")</f>
        <v>0</v>
      </c>
      <c r="AN19" s="600">
        <f>IF(ISNUMBER(ACT!L13),ACT!L13*1000000/AN$7,"")</f>
        <v>0</v>
      </c>
      <c r="AO19" s="601">
        <f>IF(ISNUMBER(NSW!K13),NSW!K13*1000000/AO$7,"")</f>
        <v>0</v>
      </c>
      <c r="AP19" s="601">
        <f>IF(ISNUMBER(NSW!L13),NSW!L13*1000000/AP$7,"")</f>
        <v>0</v>
      </c>
      <c r="AQ19" s="599" t="str">
        <f>IF(ISNUMBER(NT!K13),NT!K13*1000000/AQ$7,"")</f>
        <v/>
      </c>
      <c r="AR19" s="600">
        <f>IF(ISNUMBER(NT!L13),NT!L13*1000000/AR$7,"")</f>
        <v>274.75288196389693</v>
      </c>
      <c r="AS19" s="601" t="str">
        <f>IF(ISNUMBER(Qld!K13),Qld!K13*1000000/AS$7,"")</f>
        <v/>
      </c>
      <c r="AT19" s="601">
        <f>IF(ISNUMBER(Qld!L13),Qld!L13*1000000/AT$7,"")</f>
        <v>51.983024012948263</v>
      </c>
      <c r="AU19" s="599" t="str">
        <f>IF(ISNUMBER(SA!K13),SA!K13*1000000/AU$7,"")</f>
        <v/>
      </c>
      <c r="AV19" s="600">
        <f>IF(ISNUMBER(SA!L13),SA!L13*1000000/AV$7,"")</f>
        <v>28.807653376568695</v>
      </c>
      <c r="AW19" s="601" t="str">
        <f>IF(ISNUMBER(TAS!K13),TAS!K13*1000000/AW$7,"")</f>
        <v/>
      </c>
      <c r="AX19" s="601" t="str">
        <f>IF(ISNUMBER(TAS!L13),TAS!L13*1000000/AX$7,"")</f>
        <v/>
      </c>
      <c r="AY19" s="599">
        <f>IF(ISNUMBER(Vic!K13),Vic!K13*1000000/AY$7,"")</f>
        <v>1.8296644676045626</v>
      </c>
      <c r="AZ19" s="600">
        <f>IF(ISNUMBER(Vic!L13),Vic!L13*1000000/AZ$7,"")</f>
        <v>0.52009833325820798</v>
      </c>
      <c r="BA19" s="601">
        <f>IF(ISNUMBER(WA!L13),WA!L13*1000000/BA$7,"")</f>
        <v>0.30370661940565413</v>
      </c>
      <c r="BB19" s="601">
        <f>IF(ISNUMBER(WA!M13),WA!M13*1000000/BB$7,"")</f>
        <v>0.52030920557061955</v>
      </c>
      <c r="BC19" s="616">
        <f t="shared" si="0"/>
        <v>32.610667089022996</v>
      </c>
      <c r="BE19" s="599">
        <v>0</v>
      </c>
      <c r="BF19" s="601">
        <v>0</v>
      </c>
      <c r="BG19" s="601">
        <f>SUM([2]NT!M13:N13)</f>
        <v>27.85</v>
      </c>
      <c r="BH19" s="601">
        <v>20.79001905023739</v>
      </c>
      <c r="BI19" s="601">
        <v>16.834884966640537</v>
      </c>
      <c r="BJ19" s="601"/>
      <c r="BK19" s="601">
        <v>1.5952071961389636</v>
      </c>
      <c r="BL19" s="600">
        <v>2.8970356289857522</v>
      </c>
    </row>
    <row r="20" spans="2:64">
      <c r="B20" s="903"/>
      <c r="C20" s="873"/>
      <c r="D20" s="602" t="s">
        <v>13</v>
      </c>
      <c r="E20" s="620" t="s">
        <v>85</v>
      </c>
      <c r="F20" s="154">
        <f>IF(ISNUMBER(ACT!K14),ACT!K14,"")</f>
        <v>0</v>
      </c>
      <c r="G20" s="591" t="s">
        <v>812</v>
      </c>
      <c r="H20" s="155">
        <f>IF(ISNUMBER(ACT!L14),ACT!L14,"")</f>
        <v>0</v>
      </c>
      <c r="I20" s="592" t="s">
        <v>812</v>
      </c>
      <c r="J20" s="155">
        <f>IF(ISNUMBER(NSW!K14),NSW!K14,"")</f>
        <v>1286.4969499999997</v>
      </c>
      <c r="K20" s="591" t="s">
        <v>812</v>
      </c>
      <c r="L20" s="155">
        <f>IF(ISNUMBER(NSW!L14),NSW!L14,"")</f>
        <v>4887.6534999999967</v>
      </c>
      <c r="M20" s="592" t="s">
        <v>812</v>
      </c>
      <c r="N20" s="154" t="str">
        <f>IF(ISNUMBER(NT!K14),NT!K14,"")</f>
        <v/>
      </c>
      <c r="O20" s="591" t="s">
        <v>812</v>
      </c>
      <c r="P20" s="155">
        <f>IF(ISNUMBER(NT!L14),NT!L14,"")</f>
        <v>0</v>
      </c>
      <c r="Q20" s="592" t="s">
        <v>812</v>
      </c>
      <c r="R20" s="154" t="str">
        <f>IF(ISNUMBER(Qld!K14),Qld!K14,"")</f>
        <v/>
      </c>
      <c r="S20" s="591" t="s">
        <v>812</v>
      </c>
      <c r="T20" s="155">
        <f>IF(ISNUMBER(Qld!L14),Qld!L14,"")</f>
        <v>988</v>
      </c>
      <c r="U20" s="592" t="s">
        <v>812</v>
      </c>
      <c r="V20" s="154" t="str">
        <f>IF(ISNUMBER(SA!K14),SA!K14,"")</f>
        <v/>
      </c>
      <c r="W20" s="591" t="s">
        <v>812</v>
      </c>
      <c r="X20" s="155">
        <f>IF(ISNUMBER(SA!L14),SA!L14,"")</f>
        <v>7.28</v>
      </c>
      <c r="Y20" s="592" t="s">
        <v>812</v>
      </c>
      <c r="Z20" s="154" t="str">
        <f>IF(ISNUMBER(TAS!K14),TAS!K14,"")</f>
        <v/>
      </c>
      <c r="AA20" s="591" t="s">
        <v>812</v>
      </c>
      <c r="AB20" s="155">
        <f>IF(ISNUMBER(TAS!L14),TAS!L14,"")</f>
        <v>96</v>
      </c>
      <c r="AC20" s="592" t="s">
        <v>812</v>
      </c>
      <c r="AD20" s="154">
        <f>IF(ISNUMBER(Vic!K14),Vic!K14,"")</f>
        <v>2563.7000000000003</v>
      </c>
      <c r="AE20" s="595" t="s">
        <v>812</v>
      </c>
      <c r="AF20" s="155">
        <f>IF(ISNUMBER(Vic!L14),Vic!L14,"")</f>
        <v>3327.92</v>
      </c>
      <c r="AG20" s="594" t="s">
        <v>812</v>
      </c>
      <c r="AH20" s="154">
        <f>IF(ISNUMBER(WA!L14),WA!L14,"")</f>
        <v>0</v>
      </c>
      <c r="AI20" s="591" t="s">
        <v>812</v>
      </c>
      <c r="AJ20" s="155">
        <f>IF(ISNUMBER(WA!M14),WA!M14,"")</f>
        <v>10</v>
      </c>
      <c r="AK20" s="592" t="s">
        <v>812</v>
      </c>
      <c r="AL20" s="768"/>
      <c r="AM20" s="604">
        <f>IF(ISNUMBER(ACT!K14),ACT!K14*1000000/AM$7,"")</f>
        <v>0</v>
      </c>
      <c r="AN20" s="605">
        <f>IF(ISNUMBER(ACT!L14),ACT!L14*1000000/AN$7,"")</f>
        <v>0</v>
      </c>
      <c r="AO20" s="606">
        <f>IF(ISNUMBER(NSW!K14),NSW!K14*1000000/AO$7,"")</f>
        <v>174.2549280466985</v>
      </c>
      <c r="AP20" s="606">
        <f>IF(ISNUMBER(NSW!L14),NSW!L14*1000000/AP$7,"")</f>
        <v>657.08619154049063</v>
      </c>
      <c r="AQ20" s="604" t="str">
        <f>IF(ISNUMBER(NT!K14),NT!K14*1000000/AQ$7,"")</f>
        <v/>
      </c>
      <c r="AR20" s="605">
        <f>IF(ISNUMBER(NT!L14),NT!L14*1000000/AR$7,"")</f>
        <v>0</v>
      </c>
      <c r="AS20" s="606" t="str">
        <f>IF(ISNUMBER(Qld!K14),Qld!K14*1000000/AS$7,"")</f>
        <v/>
      </c>
      <c r="AT20" s="606">
        <f>IF(ISNUMBER(Qld!L14),Qld!L14*1000000/AT$7,"")</f>
        <v>211.35484660408596</v>
      </c>
      <c r="AU20" s="604" t="str">
        <f>IF(ISNUMBER(SA!K14),SA!K14*1000000/AU$7,"")</f>
        <v/>
      </c>
      <c r="AV20" s="605">
        <f>IF(ISNUMBER(SA!L14),SA!L14*1000000/AV$7,"")</f>
        <v>4.3474236438934524</v>
      </c>
      <c r="AW20" s="606" t="str">
        <f>IF(ISNUMBER(TAS!K14),TAS!K14*1000000/AW$7,"")</f>
        <v/>
      </c>
      <c r="AX20" s="606">
        <f>IF(ISNUMBER(TAS!L14),TAS!L14*1000000/AX$7,"")</f>
        <v>186.98870276587456</v>
      </c>
      <c r="AY20" s="604">
        <f>IF(ISNUMBER(Vic!K14),Vic!K14*1000000/AY$7,"")</f>
        <v>448.61426889803147</v>
      </c>
      <c r="AZ20" s="605">
        <f>IF(ISNUMBER(Vic!L14),Vic!L14*1000000/AZ$7,"")</f>
        <v>576.94854840555183</v>
      </c>
      <c r="BA20" s="606">
        <f>IF(ISNUMBER(WA!L14),WA!L14*1000000/BA$7,"")</f>
        <v>0</v>
      </c>
      <c r="BB20" s="606">
        <f>IF(ISNUMBER(WA!M14),WA!M14*1000000/BB$7,"")</f>
        <v>3.9417364058380269</v>
      </c>
      <c r="BC20" s="617">
        <f t="shared" si="0"/>
        <v>188.62805385920538</v>
      </c>
      <c r="BE20" s="604">
        <v>0</v>
      </c>
      <c r="BF20" s="606">
        <v>1486.5270731366872</v>
      </c>
      <c r="BG20" s="606">
        <f>SUM([2]NT!M14:N14)</f>
        <v>0</v>
      </c>
      <c r="BH20" s="606">
        <v>53.83520722482524</v>
      </c>
      <c r="BI20" s="606">
        <v>15.44904976895717</v>
      </c>
      <c r="BJ20" s="606"/>
      <c r="BK20" s="606">
        <v>0.53030911010949466</v>
      </c>
      <c r="BL20" s="605">
        <v>8.7162530040960693</v>
      </c>
    </row>
    <row r="21" spans="2:64">
      <c r="B21" s="903"/>
      <c r="C21" s="873"/>
      <c r="D21" s="602" t="s">
        <v>14</v>
      </c>
      <c r="E21" s="620" t="s">
        <v>86</v>
      </c>
      <c r="F21" s="154">
        <f>IF(ISNUMBER(ACT!K15),ACT!K15,"")</f>
        <v>6.97</v>
      </c>
      <c r="G21" s="591" t="s">
        <v>812</v>
      </c>
      <c r="H21" s="155">
        <f>IF(ISNUMBER(ACT!L15),ACT!L15,"")</f>
        <v>9.64</v>
      </c>
      <c r="I21" s="592" t="s">
        <v>812</v>
      </c>
      <c r="J21" s="155">
        <f>IF(ISNUMBER(NSW!K15),NSW!K15,"")</f>
        <v>90.266303999999963</v>
      </c>
      <c r="K21" s="591" t="s">
        <v>812</v>
      </c>
      <c r="L21" s="155">
        <f>IF(ISNUMBER(NSW!L15),NSW!L15,"")</f>
        <v>1593.5884999999978</v>
      </c>
      <c r="M21" s="592" t="s">
        <v>812</v>
      </c>
      <c r="N21" s="154" t="str">
        <f>IF(ISNUMBER(NT!K15),NT!K15,"")</f>
        <v/>
      </c>
      <c r="O21" s="591" t="s">
        <v>812</v>
      </c>
      <c r="P21" s="155">
        <f>IF(ISNUMBER(NT!L15),NT!L15,"")</f>
        <v>51.446607606661921</v>
      </c>
      <c r="Q21" s="592" t="s">
        <v>812</v>
      </c>
      <c r="R21" s="154" t="str">
        <f>IF(ISNUMBER(Qld!K15),Qld!K15,"")</f>
        <v/>
      </c>
      <c r="S21" s="591" t="s">
        <v>812</v>
      </c>
      <c r="T21" s="155">
        <f>IF(ISNUMBER(Qld!L15),Qld!L15,"")</f>
        <v>324</v>
      </c>
      <c r="U21" s="592" t="s">
        <v>812</v>
      </c>
      <c r="V21" s="154" t="str">
        <f>IF(ISNUMBER(SA!K15),SA!K15,"")</f>
        <v/>
      </c>
      <c r="W21" s="591" t="s">
        <v>812</v>
      </c>
      <c r="X21" s="155">
        <f>IF(ISNUMBER(SA!L15),SA!L15,"")</f>
        <v>28.29</v>
      </c>
      <c r="Y21" s="592" t="s">
        <v>812</v>
      </c>
      <c r="Z21" s="154" t="str">
        <f>IF(ISNUMBER(TAS!K15),TAS!K15,"")</f>
        <v/>
      </c>
      <c r="AA21" s="591" t="s">
        <v>812</v>
      </c>
      <c r="AB21" s="155">
        <f>IF(ISNUMBER(TAS!L15),TAS!L15,"")</f>
        <v>1.55E-2</v>
      </c>
      <c r="AC21" s="592" t="s">
        <v>812</v>
      </c>
      <c r="AD21" s="154">
        <f>IF(ISNUMBER(Vic!K15),Vic!K15,"")</f>
        <v>12.928000000000001</v>
      </c>
      <c r="AE21" s="595" t="s">
        <v>812</v>
      </c>
      <c r="AF21" s="155">
        <f>IF(ISNUMBER(Vic!L15),Vic!L15,"")</f>
        <v>31.7</v>
      </c>
      <c r="AG21" s="594" t="s">
        <v>812</v>
      </c>
      <c r="AH21" s="154">
        <f>IF(ISNUMBER(WA!L15),WA!L15,"")</f>
        <v>8.2580000000000009</v>
      </c>
      <c r="AI21" s="591" t="s">
        <v>812</v>
      </c>
      <c r="AJ21" s="155">
        <f>IF(ISNUMBER(WA!M15),WA!M15,"")</f>
        <v>34.319500000000012</v>
      </c>
      <c r="AK21" s="592" t="s">
        <v>812</v>
      </c>
      <c r="AL21" s="768"/>
      <c r="AM21" s="604">
        <f>IF(ISNUMBER(ACT!K15),ACT!K15*1000000/AM$7,"")</f>
        <v>18.34524326529538</v>
      </c>
      <c r="AN21" s="605">
        <f>IF(ISNUMBER(ACT!L15),ACT!L15*1000000/AN$7,"")</f>
        <v>25.179968864602813</v>
      </c>
      <c r="AO21" s="606">
        <f>IF(ISNUMBER(NSW!K15),NSW!K15*1000000/AO$7,"")</f>
        <v>12.226494830447448</v>
      </c>
      <c r="AP21" s="606">
        <f>IF(ISNUMBER(NSW!L15),NSW!L15*1000000/AP$7,"")</f>
        <v>214.23879543583078</v>
      </c>
      <c r="AQ21" s="604" t="str">
        <f>IF(ISNUMBER(NT!K15),NT!K15*1000000/AQ$7,"")</f>
        <v/>
      </c>
      <c r="AR21" s="605">
        <f>IF(ISNUMBER(NT!L15),NT!L15*1000000/AR$7,"")</f>
        <v>212.4032153925566</v>
      </c>
      <c r="AS21" s="606" t="str">
        <f>IF(ISNUMBER(Qld!K15),Qld!K15*1000000/AS$7,"")</f>
        <v/>
      </c>
      <c r="AT21" s="606">
        <f>IF(ISNUMBER(Qld!L15),Qld!L15*1000000/AT$7,"")</f>
        <v>69.310698683931022</v>
      </c>
      <c r="AU21" s="604" t="str">
        <f>IF(ISNUMBER(SA!K15),SA!K15*1000000/AU$7,"")</f>
        <v/>
      </c>
      <c r="AV21" s="605">
        <f>IF(ISNUMBER(SA!L15),SA!L15*1000000/AV$7,"")</f>
        <v>16.894040506283758</v>
      </c>
      <c r="AW21" s="606" t="str">
        <f>IF(ISNUMBER(TAS!K15),TAS!K15*1000000/AW$7,"")</f>
        <v/>
      </c>
      <c r="AX21" s="606">
        <f>IF(ISNUMBER(TAS!L15),TAS!L15*1000000/AX$7,"")</f>
        <v>3.0190884300740163E-2</v>
      </c>
      <c r="AY21" s="604">
        <f>IF(ISNUMBER(Vic!K15),Vic!K15*1000000/AY$7,"")</f>
        <v>2.2622324251331083</v>
      </c>
      <c r="AZ21" s="605">
        <f>IF(ISNUMBER(Vic!L15),Vic!L15*1000000/AZ$7,"")</f>
        <v>5.495705721428398</v>
      </c>
      <c r="BA21" s="606">
        <f>IF(ISNUMBER(WA!L15),WA!L15*1000000/BA$7,"")</f>
        <v>3.3000121882261739</v>
      </c>
      <c r="BB21" s="606">
        <f>IF(ISNUMBER(WA!M15),WA!M15*1000000/BB$7,"")</f>
        <v>13.527842258015822</v>
      </c>
      <c r="BC21" s="617">
        <f t="shared" si="0"/>
        <v>49.434536704671011</v>
      </c>
      <c r="BE21" s="604">
        <v>47.644849463176016</v>
      </c>
      <c r="BF21" s="606">
        <v>613.19163145687094</v>
      </c>
      <c r="BG21" s="606">
        <f>SUM([2]NT!M15:N15)</f>
        <v>21.53</v>
      </c>
      <c r="BH21" s="606">
        <v>91.038399209460579</v>
      </c>
      <c r="BI21" s="606">
        <v>58.124011472569656</v>
      </c>
      <c r="BJ21" s="606">
        <v>9.3393241583009413E-3</v>
      </c>
      <c r="BK21" s="606">
        <v>3.1961208800252328</v>
      </c>
      <c r="BL21" s="605">
        <v>25.445599231877189</v>
      </c>
    </row>
    <row r="22" spans="2:64">
      <c r="B22" s="903"/>
      <c r="C22" s="873"/>
      <c r="D22" s="602" t="s">
        <v>15</v>
      </c>
      <c r="E22" s="620" t="s">
        <v>87</v>
      </c>
      <c r="F22" s="154">
        <f>IF(ISNUMBER(ACT!K16),ACT!K16,"")</f>
        <v>0</v>
      </c>
      <c r="G22" s="591" t="s">
        <v>812</v>
      </c>
      <c r="H22" s="155">
        <f>IF(ISNUMBER(ACT!L16),ACT!L16,"")</f>
        <v>0</v>
      </c>
      <c r="I22" s="592" t="s">
        <v>812</v>
      </c>
      <c r="J22" s="155">
        <f>IF(ISNUMBER(NSW!K16),NSW!K16,"")</f>
        <v>0</v>
      </c>
      <c r="K22" s="591" t="s">
        <v>812</v>
      </c>
      <c r="L22" s="155">
        <f>IF(ISNUMBER(NSW!L16),NSW!L16,"")</f>
        <v>5.0000000000000001E-3</v>
      </c>
      <c r="M22" s="592" t="s">
        <v>812</v>
      </c>
      <c r="N22" s="154" t="str">
        <f>IF(ISNUMBER(NT!K16),NT!K16,"")</f>
        <v/>
      </c>
      <c r="O22" s="591" t="s">
        <v>812</v>
      </c>
      <c r="P22" s="155">
        <f>IF(ISNUMBER(NT!L16),NT!L16,"")</f>
        <v>0</v>
      </c>
      <c r="Q22" s="592" t="s">
        <v>812</v>
      </c>
      <c r="R22" s="154" t="str">
        <f>IF(ISNUMBER(Qld!K16),Qld!K16,"")</f>
        <v/>
      </c>
      <c r="S22" s="591" t="s">
        <v>812</v>
      </c>
      <c r="T22" s="155">
        <f>IF(ISNUMBER(Qld!L16),Qld!L16,"")</f>
        <v>126</v>
      </c>
      <c r="U22" s="592" t="s">
        <v>812</v>
      </c>
      <c r="V22" s="154" t="str">
        <f>IF(ISNUMBER(SA!K16),SA!K16,"")</f>
        <v/>
      </c>
      <c r="W22" s="591" t="s">
        <v>812</v>
      </c>
      <c r="X22" s="155">
        <f>IF(ISNUMBER(SA!L16),SA!L16,"")</f>
        <v>0.72</v>
      </c>
      <c r="Y22" s="592" t="s">
        <v>812</v>
      </c>
      <c r="Z22" s="154" t="str">
        <f>IF(ISNUMBER(TAS!K16),TAS!K16,"")</f>
        <v/>
      </c>
      <c r="AA22" s="591" t="s">
        <v>812</v>
      </c>
      <c r="AB22" s="155" t="str">
        <f>IF(ISNUMBER(TAS!L16),TAS!L16,"")</f>
        <v/>
      </c>
      <c r="AC22" s="592" t="s">
        <v>812</v>
      </c>
      <c r="AD22" s="154">
        <f>IF(ISNUMBER(Vic!K16),Vic!K16,"")</f>
        <v>40.89</v>
      </c>
      <c r="AE22" s="595" t="s">
        <v>812</v>
      </c>
      <c r="AF22" s="155">
        <f>IF(ISNUMBER(Vic!L16),Vic!L16,"")</f>
        <v>32</v>
      </c>
      <c r="AG22" s="594" t="s">
        <v>812</v>
      </c>
      <c r="AH22" s="154">
        <f>IF(ISNUMBER(WA!L16),WA!L16,"")</f>
        <v>0.04</v>
      </c>
      <c r="AI22" s="591" t="s">
        <v>812</v>
      </c>
      <c r="AJ22" s="155">
        <f>IF(ISNUMBER(WA!M16),WA!M16,"")</f>
        <v>3.5000000000000001E-3</v>
      </c>
      <c r="AK22" s="592" t="s">
        <v>812</v>
      </c>
      <c r="AL22" s="768"/>
      <c r="AM22" s="604">
        <f>IF(ISNUMBER(ACT!K16),ACT!K16*1000000/AM$7,"")</f>
        <v>0</v>
      </c>
      <c r="AN22" s="605">
        <f>IF(ISNUMBER(ACT!L16),ACT!L16*1000000/AN$7,"")</f>
        <v>0</v>
      </c>
      <c r="AO22" s="606">
        <f>IF(ISNUMBER(NSW!K16),NSW!K16*1000000/AO$7,"")</f>
        <v>0</v>
      </c>
      <c r="AP22" s="606">
        <f>IF(ISNUMBER(NSW!L16),NSW!L16*1000000/AP$7,"")</f>
        <v>6.7218982640697737E-4</v>
      </c>
      <c r="AQ22" s="604" t="str">
        <f>IF(ISNUMBER(NT!K16),NT!K16*1000000/AQ$7,"")</f>
        <v/>
      </c>
      <c r="AR22" s="605">
        <f>IF(ISNUMBER(NT!L16),NT!L16*1000000/AR$7,"")</f>
        <v>0</v>
      </c>
      <c r="AS22" s="606" t="str">
        <f>IF(ISNUMBER(Qld!K16),Qld!K16*1000000/AS$7,"")</f>
        <v/>
      </c>
      <c r="AT22" s="606">
        <f>IF(ISNUMBER(Qld!L16),Qld!L16*1000000/AT$7,"")</f>
        <v>26.954160599306508</v>
      </c>
      <c r="AU22" s="604" t="str">
        <f>IF(ISNUMBER(SA!K16),SA!K16*1000000/AU$7,"")</f>
        <v/>
      </c>
      <c r="AV22" s="605">
        <f>IF(ISNUMBER(SA!L16),SA!L16*1000000/AV$7,"")</f>
        <v>0.42996497576968207</v>
      </c>
      <c r="AW22" s="606" t="str">
        <f>IF(ISNUMBER(TAS!K16),TAS!K16*1000000/AW$7,"")</f>
        <v/>
      </c>
      <c r="AX22" s="606" t="str">
        <f>IF(ISNUMBER(TAS!L16),TAS!L16*1000000/AX$7,"")</f>
        <v/>
      </c>
      <c r="AY22" s="604">
        <f>IF(ISNUMBER(Vic!K16),Vic!K16*1000000/AY$7,"")</f>
        <v>7.1552199770801979</v>
      </c>
      <c r="AZ22" s="605">
        <f>IF(ISNUMBER(Vic!L16),Vic!L16*1000000/AZ$7,"")</f>
        <v>5.5477155547542187</v>
      </c>
      <c r="BA22" s="606">
        <f>IF(ISNUMBER(WA!L16),WA!L16*1000000/BA$7,"")</f>
        <v>1.598455891608706E-2</v>
      </c>
      <c r="BB22" s="606">
        <f>IF(ISNUMBER(WA!M16),WA!M16*1000000/BB$7,"")</f>
        <v>1.3796077420433095E-3</v>
      </c>
      <c r="BC22" s="617">
        <f t="shared" si="0"/>
        <v>3.6459179512177404</v>
      </c>
      <c r="BE22" s="604">
        <v>0</v>
      </c>
      <c r="BF22" s="606">
        <v>161.41422157722445</v>
      </c>
      <c r="BG22" s="606">
        <f>SUM([2]NT!M16:N16)</f>
        <v>0</v>
      </c>
      <c r="BH22" s="606">
        <v>181.20142919575324</v>
      </c>
      <c r="BI22" s="606">
        <v>1.6945613658164609</v>
      </c>
      <c r="BJ22" s="606"/>
      <c r="BK22" s="606">
        <v>12.047445645948249</v>
      </c>
      <c r="BL22" s="605">
        <v>7.0818178093086681</v>
      </c>
    </row>
    <row r="23" spans="2:64">
      <c r="B23" s="903"/>
      <c r="C23" s="873"/>
      <c r="D23" s="602" t="s">
        <v>16</v>
      </c>
      <c r="E23" s="620" t="s">
        <v>88</v>
      </c>
      <c r="F23" s="154">
        <f>IF(ISNUMBER(ACT!K17),ACT!K17,"")</f>
        <v>0</v>
      </c>
      <c r="G23" s="591" t="s">
        <v>812</v>
      </c>
      <c r="H23" s="155">
        <f>IF(ISNUMBER(ACT!L17),ACT!L17,"")</f>
        <v>0</v>
      </c>
      <c r="I23" s="592" t="s">
        <v>812</v>
      </c>
      <c r="J23" s="155">
        <f>IF(ISNUMBER(NSW!K17),NSW!K17,"")</f>
        <v>273.74770000000007</v>
      </c>
      <c r="K23" s="591" t="s">
        <v>812</v>
      </c>
      <c r="L23" s="155">
        <f>IF(ISNUMBER(NSW!L17),NSW!L17,"")</f>
        <v>337.88460000000003</v>
      </c>
      <c r="M23" s="592" t="s">
        <v>812</v>
      </c>
      <c r="N23" s="154" t="str">
        <f>IF(ISNUMBER(NT!K17),NT!K17,"")</f>
        <v/>
      </c>
      <c r="O23" s="591" t="s">
        <v>812</v>
      </c>
      <c r="P23" s="155">
        <f>IF(ISNUMBER(NT!L17),NT!L17,"")</f>
        <v>0</v>
      </c>
      <c r="Q23" s="592" t="s">
        <v>812</v>
      </c>
      <c r="R23" s="154" t="str">
        <f>IF(ISNUMBER(Qld!K17),Qld!K17,"")</f>
        <v/>
      </c>
      <c r="S23" s="591" t="s">
        <v>812</v>
      </c>
      <c r="T23" s="155">
        <f>IF(ISNUMBER(Qld!L17),Qld!L17,"")</f>
        <v>195</v>
      </c>
      <c r="U23" s="592" t="s">
        <v>812</v>
      </c>
      <c r="V23" s="154" t="str">
        <f>IF(ISNUMBER(SA!K17),SA!K17,"")</f>
        <v/>
      </c>
      <c r="W23" s="591" t="s">
        <v>812</v>
      </c>
      <c r="X23" s="155">
        <f>IF(ISNUMBER(SA!L17),SA!L17,"")</f>
        <v>8.9</v>
      </c>
      <c r="Y23" s="592" t="s">
        <v>812</v>
      </c>
      <c r="Z23" s="154" t="str">
        <f>IF(ISNUMBER(TAS!K17),TAS!K17,"")</f>
        <v/>
      </c>
      <c r="AA23" s="591" t="s">
        <v>812</v>
      </c>
      <c r="AB23" s="155" t="str">
        <f>IF(ISNUMBER(TAS!L17),TAS!L17,"")</f>
        <v/>
      </c>
      <c r="AC23" s="592" t="s">
        <v>812</v>
      </c>
      <c r="AD23" s="154">
        <f>IF(ISNUMBER(Vic!K17),Vic!K17,"")</f>
        <v>250.06700000000001</v>
      </c>
      <c r="AE23" s="595" t="s">
        <v>812</v>
      </c>
      <c r="AF23" s="155">
        <f>IF(ISNUMBER(Vic!L17),Vic!L17,"")</f>
        <v>474.65300000000002</v>
      </c>
      <c r="AG23" s="594" t="s">
        <v>812</v>
      </c>
      <c r="AH23" s="154">
        <f>IF(ISNUMBER(WA!L17),WA!L17,"")</f>
        <v>19.326999999999998</v>
      </c>
      <c r="AI23" s="591" t="s">
        <v>812</v>
      </c>
      <c r="AJ23" s="155">
        <f>IF(ISNUMBER(WA!M17),WA!M17,"")</f>
        <v>70.532000000000011</v>
      </c>
      <c r="AK23" s="592" t="s">
        <v>812</v>
      </c>
      <c r="AL23" s="768"/>
      <c r="AM23" s="604">
        <f>IF(ISNUMBER(ACT!K17),ACT!K17*1000000/AM$7,"")</f>
        <v>0</v>
      </c>
      <c r="AN23" s="605">
        <f>IF(ISNUMBER(ACT!L17),ACT!L17*1000000/AN$7,"")</f>
        <v>0</v>
      </c>
      <c r="AO23" s="606">
        <f>IF(ISNUMBER(NSW!K17),NSW!K17*1000000/AO$7,"")</f>
        <v>37.07889534168676</v>
      </c>
      <c r="AP23" s="606">
        <f>IF(ISNUMBER(NSW!L17),NSW!L17*1000000/AP$7,"")</f>
        <v>45.424518123918205</v>
      </c>
      <c r="AQ23" s="604" t="str">
        <f>IF(ISNUMBER(NT!K17),NT!K17*1000000/AQ$7,"")</f>
        <v/>
      </c>
      <c r="AR23" s="605">
        <f>IF(ISNUMBER(NT!L17),NT!L17*1000000/AR$7,"")</f>
        <v>0</v>
      </c>
      <c r="AS23" s="606" t="str">
        <f>IF(ISNUMBER(Qld!K17),Qld!K17*1000000/AS$7,"")</f>
        <v/>
      </c>
      <c r="AT23" s="606">
        <f>IF(ISNUMBER(Qld!L17),Qld!L17*1000000/AT$7,"")</f>
        <v>41.714772356069595</v>
      </c>
      <c r="AU23" s="604" t="str">
        <f>IF(ISNUMBER(SA!K17),SA!K17*1000000/AU$7,"")</f>
        <v/>
      </c>
      <c r="AV23" s="605">
        <f>IF(ISNUMBER(SA!L17),SA!L17*1000000/AV$7,"")</f>
        <v>5.3148448393752368</v>
      </c>
      <c r="AW23" s="606" t="str">
        <f>IF(ISNUMBER(TAS!K17),TAS!K17*1000000/AW$7,"")</f>
        <v/>
      </c>
      <c r="AX23" s="606" t="str">
        <f>IF(ISNUMBER(TAS!L17),TAS!L17*1000000/AX$7,"")</f>
        <v/>
      </c>
      <c r="AY23" s="604">
        <f>IF(ISNUMBER(Vic!K17),Vic!K17*1000000/AY$7,"")</f>
        <v>43.758483590328048</v>
      </c>
      <c r="AZ23" s="605">
        <f>IF(ISNUMBER(Vic!L17),Vic!L17*1000000/AZ$7,"")</f>
        <v>82.288744725336073</v>
      </c>
      <c r="BA23" s="606">
        <f>IF(ISNUMBER(WA!L17),WA!L17*1000000/BA$7,"")</f>
        <v>7.7233392542803649</v>
      </c>
      <c r="BB23" s="606">
        <f>IF(ISNUMBER(WA!M17),WA!M17*1000000/BB$7,"")</f>
        <v>27.801855217656776</v>
      </c>
      <c r="BC23" s="617">
        <f t="shared" si="0"/>
        <v>26.464132131695553</v>
      </c>
      <c r="BE23" s="604">
        <v>0</v>
      </c>
      <c r="BF23" s="606">
        <v>1829.3863015043967</v>
      </c>
      <c r="BG23" s="606">
        <f>SUM([2]NT!M17:N17)</f>
        <v>0</v>
      </c>
      <c r="BH23" s="606">
        <v>252.98170549552023</v>
      </c>
      <c r="BI23" s="606">
        <v>0.98042479022238094</v>
      </c>
      <c r="BJ23" s="606"/>
      <c r="BK23" s="606">
        <v>48.154248452168986</v>
      </c>
      <c r="BL23" s="605">
        <v>24.087355786195467</v>
      </c>
    </row>
    <row r="24" spans="2:64">
      <c r="B24" s="903"/>
      <c r="C24" s="873"/>
      <c r="D24" s="602" t="s">
        <v>17</v>
      </c>
      <c r="E24" s="620" t="s">
        <v>89</v>
      </c>
      <c r="F24" s="154">
        <f>IF(ISNUMBER(ACT!K18),ACT!K18,"")</f>
        <v>0</v>
      </c>
      <c r="G24" s="591" t="s">
        <v>812</v>
      </c>
      <c r="H24" s="155">
        <f>IF(ISNUMBER(ACT!L18),ACT!L18,"")</f>
        <v>0</v>
      </c>
      <c r="I24" s="592" t="s">
        <v>812</v>
      </c>
      <c r="J24" s="155">
        <f>IF(ISNUMBER(NSW!K18),NSW!K18,"")</f>
        <v>1.9994999999999998</v>
      </c>
      <c r="K24" s="591" t="s">
        <v>812</v>
      </c>
      <c r="L24" s="155">
        <f>IF(ISNUMBER(NSW!L18),NSW!L18,"")</f>
        <v>6.2839999999999989</v>
      </c>
      <c r="M24" s="592" t="s">
        <v>812</v>
      </c>
      <c r="N24" s="154" t="str">
        <f>IF(ISNUMBER(NT!K18),NT!K18,"")</f>
        <v/>
      </c>
      <c r="O24" s="591" t="s">
        <v>812</v>
      </c>
      <c r="P24" s="155">
        <f>IF(ISNUMBER(NT!L18),NT!L18,"")</f>
        <v>0</v>
      </c>
      <c r="Q24" s="592" t="s">
        <v>812</v>
      </c>
      <c r="R24" s="154" t="str">
        <f>IF(ISNUMBER(Qld!K18),Qld!K18,"")</f>
        <v/>
      </c>
      <c r="S24" s="591" t="s">
        <v>812</v>
      </c>
      <c r="T24" s="155">
        <f>IF(ISNUMBER(Qld!L18),Qld!L18,"")</f>
        <v>8</v>
      </c>
      <c r="U24" s="592" t="s">
        <v>812</v>
      </c>
      <c r="V24" s="154" t="str">
        <f>IF(ISNUMBER(SA!K18),SA!K18,"")</f>
        <v/>
      </c>
      <c r="W24" s="591" t="s">
        <v>812</v>
      </c>
      <c r="X24" s="155">
        <f>IF(ISNUMBER(SA!L18),SA!L18,"")</f>
        <v>3.73</v>
      </c>
      <c r="Y24" s="592" t="s">
        <v>812</v>
      </c>
      <c r="Z24" s="154" t="str">
        <f>IF(ISNUMBER(TAS!K18),TAS!K18,"")</f>
        <v/>
      </c>
      <c r="AA24" s="591" t="s">
        <v>812</v>
      </c>
      <c r="AB24" s="155">
        <f>IF(ISNUMBER(TAS!L18),TAS!L18,"")</f>
        <v>2.4020000000000001</v>
      </c>
      <c r="AC24" s="592" t="s">
        <v>812</v>
      </c>
      <c r="AD24" s="154">
        <f>IF(ISNUMBER(Vic!K18),Vic!K18,"")</f>
        <v>0.66600000000000004</v>
      </c>
      <c r="AE24" s="595" t="s">
        <v>812</v>
      </c>
      <c r="AF24" s="155">
        <f>IF(ISNUMBER(Vic!L18),Vic!L18,"")</f>
        <v>0</v>
      </c>
      <c r="AG24" s="594" t="s">
        <v>812</v>
      </c>
      <c r="AH24" s="154">
        <f>IF(ISNUMBER(WA!L18),WA!L18,"")</f>
        <v>0.63</v>
      </c>
      <c r="AI24" s="591" t="s">
        <v>812</v>
      </c>
      <c r="AJ24" s="155">
        <f>IF(ISNUMBER(WA!M18),WA!M18,"")</f>
        <v>7.419999999999999</v>
      </c>
      <c r="AK24" s="592" t="s">
        <v>812</v>
      </c>
      <c r="AL24" s="768"/>
      <c r="AM24" s="604">
        <f>IF(ISNUMBER(ACT!K18),ACT!K18*1000000/AM$7,"")</f>
        <v>0</v>
      </c>
      <c r="AN24" s="605">
        <f>IF(ISNUMBER(ACT!L18),ACT!L18*1000000/AN$7,"")</f>
        <v>0</v>
      </c>
      <c r="AO24" s="606">
        <f>IF(ISNUMBER(NSW!K18),NSW!K18*1000000/AO$7,"")</f>
        <v>0.27083059048789326</v>
      </c>
      <c r="AP24" s="606">
        <f>IF(ISNUMBER(NSW!L18),NSW!L18*1000000/AP$7,"")</f>
        <v>0.84480817382828899</v>
      </c>
      <c r="AQ24" s="604" t="str">
        <f>IF(ISNUMBER(NT!K18),NT!K18*1000000/AQ$7,"")</f>
        <v/>
      </c>
      <c r="AR24" s="605">
        <f>IF(ISNUMBER(NT!L18),NT!L18*1000000/AR$7,"")</f>
        <v>0</v>
      </c>
      <c r="AS24" s="606" t="str">
        <f>IF(ISNUMBER(Qld!K18),Qld!K18*1000000/AS$7,"")</f>
        <v/>
      </c>
      <c r="AT24" s="606">
        <f>IF(ISNUMBER(Qld!L18),Qld!L18*1000000/AT$7,"")</f>
        <v>1.7113752761464449</v>
      </c>
      <c r="AU24" s="604" t="str">
        <f>IF(ISNUMBER(SA!K18),SA!K18*1000000/AU$7,"")</f>
        <v/>
      </c>
      <c r="AV24" s="605">
        <f>IF(ISNUMBER(SA!L18),SA!L18*1000000/AV$7,"")</f>
        <v>2.2274574439179364</v>
      </c>
      <c r="AW24" s="606" t="str">
        <f>IF(ISNUMBER(TAS!K18),TAS!K18*1000000/AW$7,"")</f>
        <v/>
      </c>
      <c r="AX24" s="606">
        <f>IF(ISNUMBER(TAS!L18),TAS!L18*1000000/AX$7,"")</f>
        <v>4.6786131671211528</v>
      </c>
      <c r="AY24" s="604">
        <f>IF(ISNUMBER(Vic!K18),Vic!K18*1000000/AY$7,"")</f>
        <v>0.11654136719822479</v>
      </c>
      <c r="AZ24" s="605">
        <f>IF(ISNUMBER(Vic!L18),Vic!L18*1000000/AZ$7,"")</f>
        <v>0</v>
      </c>
      <c r="BA24" s="606">
        <f>IF(ISNUMBER(WA!L18),WA!L18*1000000/BA$7,"")</f>
        <v>0.25175680292837121</v>
      </c>
      <c r="BB24" s="606">
        <f>IF(ISNUMBER(WA!M18),WA!M18*1000000/BB$7,"")</f>
        <v>2.9247684131318157</v>
      </c>
      <c r="BC24" s="617">
        <f t="shared" si="0"/>
        <v>1.0855126028966773</v>
      </c>
      <c r="BE24" s="604">
        <v>0</v>
      </c>
      <c r="BF24" s="606">
        <v>30.686815775294196</v>
      </c>
      <c r="BG24" s="606">
        <f>SUM([2]NT!M18:N18)</f>
        <v>0</v>
      </c>
      <c r="BH24" s="606">
        <v>3.9391615042555053</v>
      </c>
      <c r="BI24" s="606">
        <v>2.4110537412931059</v>
      </c>
      <c r="BJ24" s="606">
        <v>1.4472939760154104</v>
      </c>
      <c r="BK24" s="606">
        <v>1.7805366311297539</v>
      </c>
      <c r="BL24" s="605">
        <v>5.6715214786442667</v>
      </c>
    </row>
    <row r="25" spans="2:64">
      <c r="B25" s="903"/>
      <c r="C25" s="873"/>
      <c r="D25" s="602" t="s">
        <v>18</v>
      </c>
      <c r="E25" s="620" t="s">
        <v>90</v>
      </c>
      <c r="F25" s="154">
        <f>IF(ISNUMBER(ACT!K19),ACT!K19,"")</f>
        <v>0</v>
      </c>
      <c r="G25" s="591" t="s">
        <v>812</v>
      </c>
      <c r="H25" s="155">
        <f>IF(ISNUMBER(ACT!L19),ACT!L19,"")</f>
        <v>0</v>
      </c>
      <c r="I25" s="592" t="s">
        <v>812</v>
      </c>
      <c r="J25" s="155">
        <f>IF(ISNUMBER(NSW!K19),NSW!K19,"")</f>
        <v>0</v>
      </c>
      <c r="K25" s="591" t="s">
        <v>812</v>
      </c>
      <c r="L25" s="155">
        <f>IF(ISNUMBER(NSW!L19),NSW!L19,"")</f>
        <v>0</v>
      </c>
      <c r="M25" s="592" t="s">
        <v>812</v>
      </c>
      <c r="N25" s="154" t="str">
        <f>IF(ISNUMBER(NT!K19),NT!K19,"")</f>
        <v/>
      </c>
      <c r="O25" s="591" t="s">
        <v>812</v>
      </c>
      <c r="P25" s="155">
        <f>IF(ISNUMBER(NT!L19),NT!L19,"")</f>
        <v>0</v>
      </c>
      <c r="Q25" s="592" t="s">
        <v>812</v>
      </c>
      <c r="R25" s="154" t="str">
        <f>IF(ISNUMBER(Qld!K19),Qld!K19,"")</f>
        <v/>
      </c>
      <c r="S25" s="591" t="s">
        <v>812</v>
      </c>
      <c r="T25" s="155">
        <f>IF(ISNUMBER(Qld!L19),Qld!L19,"")</f>
        <v>1</v>
      </c>
      <c r="U25" s="592" t="s">
        <v>812</v>
      </c>
      <c r="V25" s="154" t="str">
        <f>IF(ISNUMBER(SA!K19),SA!K19,"")</f>
        <v/>
      </c>
      <c r="W25" s="591" t="s">
        <v>812</v>
      </c>
      <c r="X25" s="155">
        <f>IF(ISNUMBER(SA!L19),SA!L19,"")</f>
        <v>0.09</v>
      </c>
      <c r="Y25" s="592" t="s">
        <v>812</v>
      </c>
      <c r="Z25" s="154" t="str">
        <f>IF(ISNUMBER(TAS!K19),TAS!K19,"")</f>
        <v/>
      </c>
      <c r="AA25" s="591" t="s">
        <v>812</v>
      </c>
      <c r="AB25" s="155" t="str">
        <f>IF(ISNUMBER(TAS!L19),TAS!L19,"")</f>
        <v/>
      </c>
      <c r="AC25" s="592" t="s">
        <v>812</v>
      </c>
      <c r="AD25" s="154">
        <f>IF(ISNUMBER(Vic!K19),Vic!K19,"")</f>
        <v>4</v>
      </c>
      <c r="AE25" s="595" t="s">
        <v>812</v>
      </c>
      <c r="AF25" s="155">
        <f>IF(ISNUMBER(Vic!L19),Vic!L19,"")</f>
        <v>0</v>
      </c>
      <c r="AG25" s="594" t="s">
        <v>812</v>
      </c>
      <c r="AH25" s="154">
        <f>IF(ISNUMBER(WA!L19),WA!L19,"")</f>
        <v>0.156</v>
      </c>
      <c r="AI25" s="591" t="s">
        <v>812</v>
      </c>
      <c r="AJ25" s="155">
        <f>IF(ISNUMBER(WA!M19),WA!M19,"")</f>
        <v>0.14000000000000001</v>
      </c>
      <c r="AK25" s="592" t="s">
        <v>812</v>
      </c>
      <c r="AL25" s="768"/>
      <c r="AM25" s="604">
        <f>IF(ISNUMBER(ACT!K19),ACT!K19*1000000/AM$7,"")</f>
        <v>0</v>
      </c>
      <c r="AN25" s="605">
        <f>IF(ISNUMBER(ACT!L19),ACT!L19*1000000/AN$7,"")</f>
        <v>0</v>
      </c>
      <c r="AO25" s="606">
        <f>IF(ISNUMBER(NSW!K19),NSW!K19*1000000/AO$7,"")</f>
        <v>0</v>
      </c>
      <c r="AP25" s="606">
        <f>IF(ISNUMBER(NSW!L19),NSW!L19*1000000/AP$7,"")</f>
        <v>0</v>
      </c>
      <c r="AQ25" s="604" t="str">
        <f>IF(ISNUMBER(NT!K19),NT!K19*1000000/AQ$7,"")</f>
        <v/>
      </c>
      <c r="AR25" s="605">
        <f>IF(ISNUMBER(NT!L19),NT!L19*1000000/AR$7,"")</f>
        <v>0</v>
      </c>
      <c r="AS25" s="606" t="str">
        <f>IF(ISNUMBER(Qld!K19),Qld!K19*1000000/AS$7,"")</f>
        <v/>
      </c>
      <c r="AT25" s="606">
        <f>IF(ISNUMBER(Qld!L19),Qld!L19*1000000/AT$7,"")</f>
        <v>0.21392190951830561</v>
      </c>
      <c r="AU25" s="604" t="str">
        <f>IF(ISNUMBER(SA!K19),SA!K19*1000000/AU$7,"")</f>
        <v/>
      </c>
      <c r="AV25" s="605">
        <f>IF(ISNUMBER(SA!L19),SA!L19*1000000/AV$7,"")</f>
        <v>5.3745621971210258E-2</v>
      </c>
      <c r="AW25" s="606" t="str">
        <f>IF(ISNUMBER(TAS!K19),TAS!K19*1000000/AW$7,"")</f>
        <v/>
      </c>
      <c r="AX25" s="606" t="str">
        <f>IF(ISNUMBER(TAS!L19),TAS!L19*1000000/AX$7,"")</f>
        <v/>
      </c>
      <c r="AY25" s="604">
        <f>IF(ISNUMBER(Vic!K19),Vic!K19*1000000/AY$7,"")</f>
        <v>0.69994815134068944</v>
      </c>
      <c r="AZ25" s="605">
        <f>IF(ISNUMBER(Vic!L19),Vic!L19*1000000/AZ$7,"")</f>
        <v>0</v>
      </c>
      <c r="BA25" s="606">
        <f>IF(ISNUMBER(WA!L19),WA!L19*1000000/BA$7,"")</f>
        <v>6.2339779772739537E-2</v>
      </c>
      <c r="BB25" s="606">
        <f>IF(ISNUMBER(WA!M19),WA!M19*1000000/BB$7,"")</f>
        <v>5.518430968173238E-2</v>
      </c>
      <c r="BC25" s="617">
        <f t="shared" si="0"/>
        <v>9.8649070207697948E-2</v>
      </c>
      <c r="BE25" s="604">
        <v>0</v>
      </c>
      <c r="BF25" s="606">
        <v>0</v>
      </c>
      <c r="BG25" s="606">
        <f>SUM([2]NT!M19:N19)</f>
        <v>0</v>
      </c>
      <c r="BH25" s="606">
        <v>0</v>
      </c>
      <c r="BI25" s="606">
        <v>0.30126852123551423</v>
      </c>
      <c r="BJ25" s="606"/>
      <c r="BK25" s="606">
        <v>0</v>
      </c>
      <c r="BL25" s="605">
        <v>3.185786403784693</v>
      </c>
    </row>
    <row r="26" spans="2:64">
      <c r="B26" s="903"/>
      <c r="C26" s="873"/>
      <c r="D26" s="602" t="s">
        <v>19</v>
      </c>
      <c r="E26" s="620" t="s">
        <v>141</v>
      </c>
      <c r="F26" s="154">
        <f>IF(ISNUMBER(ACT!K20),ACT!K20,"")</f>
        <v>0</v>
      </c>
      <c r="G26" s="591" t="s">
        <v>812</v>
      </c>
      <c r="H26" s="155">
        <f>IF(ISNUMBER(ACT!L20),ACT!L20,"")</f>
        <v>0</v>
      </c>
      <c r="I26" s="592" t="s">
        <v>812</v>
      </c>
      <c r="J26" s="155">
        <f>IF(ISNUMBER(NSW!K20),NSW!K20,"")</f>
        <v>0</v>
      </c>
      <c r="K26" s="591" t="s">
        <v>812</v>
      </c>
      <c r="L26" s="155">
        <f>IF(ISNUMBER(NSW!L20),NSW!L20,"")</f>
        <v>0</v>
      </c>
      <c r="M26" s="592" t="s">
        <v>812</v>
      </c>
      <c r="N26" s="154" t="str">
        <f>IF(ISNUMBER(NT!K20),NT!K20,"")</f>
        <v/>
      </c>
      <c r="O26" s="591" t="s">
        <v>812</v>
      </c>
      <c r="P26" s="155">
        <f>IF(ISNUMBER(NT!L20),NT!L20,"")</f>
        <v>0</v>
      </c>
      <c r="Q26" s="592" t="s">
        <v>812</v>
      </c>
      <c r="R26" s="154" t="str">
        <f>IF(ISNUMBER(Qld!K20),Qld!K20,"")</f>
        <v/>
      </c>
      <c r="S26" s="591" t="s">
        <v>812</v>
      </c>
      <c r="T26" s="155">
        <f>IF(ISNUMBER(Qld!L20),Qld!L20,"")</f>
        <v>0</v>
      </c>
      <c r="U26" s="592" t="s">
        <v>812</v>
      </c>
      <c r="V26" s="154" t="str">
        <f>IF(ISNUMBER(SA!K20),SA!K20,"")</f>
        <v/>
      </c>
      <c r="W26" s="591" t="s">
        <v>812</v>
      </c>
      <c r="X26" s="155">
        <f>IF(ISNUMBER(SA!L20),SA!L20,"")</f>
        <v>0</v>
      </c>
      <c r="Y26" s="592" t="s">
        <v>812</v>
      </c>
      <c r="Z26" s="154" t="str">
        <f>IF(ISNUMBER(TAS!K20),TAS!K20,"")</f>
        <v/>
      </c>
      <c r="AA26" s="591" t="s">
        <v>812</v>
      </c>
      <c r="AB26" s="155" t="str">
        <f>IF(ISNUMBER(TAS!L20),TAS!L20,"")</f>
        <v/>
      </c>
      <c r="AC26" s="592" t="s">
        <v>812</v>
      </c>
      <c r="AD26" s="154">
        <f>IF(ISNUMBER(Vic!K20),Vic!K20,"")</f>
        <v>0</v>
      </c>
      <c r="AE26" s="595" t="s">
        <v>812</v>
      </c>
      <c r="AF26" s="155">
        <f>IF(ISNUMBER(Vic!L20),Vic!L20,"")</f>
        <v>0</v>
      </c>
      <c r="AG26" s="594" t="s">
        <v>812</v>
      </c>
      <c r="AH26" s="154">
        <f>IF(ISNUMBER(WA!L20),WA!L20,"")</f>
        <v>0.91199999999999992</v>
      </c>
      <c r="AI26" s="591" t="s">
        <v>812</v>
      </c>
      <c r="AJ26" s="155">
        <f>IF(ISNUMBER(WA!M20),WA!M20,"")</f>
        <v>2.9681000000000002</v>
      </c>
      <c r="AK26" s="592" t="s">
        <v>812</v>
      </c>
      <c r="AL26" s="768"/>
      <c r="AM26" s="604">
        <f>IF(ISNUMBER(ACT!K20),ACT!K20*1000000/AM$7,"")</f>
        <v>0</v>
      </c>
      <c r="AN26" s="605">
        <f>IF(ISNUMBER(ACT!L20),ACT!L20*1000000/AN$7,"")</f>
        <v>0</v>
      </c>
      <c r="AO26" s="606">
        <f>IF(ISNUMBER(NSW!K20),NSW!K20*1000000/AO$7,"")</f>
        <v>0</v>
      </c>
      <c r="AP26" s="606">
        <f>IF(ISNUMBER(NSW!L20),NSW!L20*1000000/AP$7,"")</f>
        <v>0</v>
      </c>
      <c r="AQ26" s="604" t="str">
        <f>IF(ISNUMBER(NT!K20),NT!K20*1000000/AQ$7,"")</f>
        <v/>
      </c>
      <c r="AR26" s="605">
        <f>IF(ISNUMBER(NT!L20),NT!L20*1000000/AR$7,"")</f>
        <v>0</v>
      </c>
      <c r="AS26" s="606" t="str">
        <f>IF(ISNUMBER(Qld!K20),Qld!K20*1000000/AS$7,"")</f>
        <v/>
      </c>
      <c r="AT26" s="606">
        <f>IF(ISNUMBER(Qld!L20),Qld!L20*1000000/AT$7,"")</f>
        <v>0</v>
      </c>
      <c r="AU26" s="604" t="str">
        <f>IF(ISNUMBER(SA!K20),SA!K20*1000000/AU$7,"")</f>
        <v/>
      </c>
      <c r="AV26" s="605">
        <f>IF(ISNUMBER(SA!L20),SA!L20*1000000/AV$7,"")</f>
        <v>0</v>
      </c>
      <c r="AW26" s="606" t="str">
        <f>IF(ISNUMBER(TAS!K20),TAS!K20*1000000/AW$7,"")</f>
        <v/>
      </c>
      <c r="AX26" s="606" t="str">
        <f>IF(ISNUMBER(TAS!L20),TAS!L20*1000000/AX$7,"")</f>
        <v/>
      </c>
      <c r="AY26" s="604">
        <f>IF(ISNUMBER(Vic!K20),Vic!K20*1000000/AY$7,"")</f>
        <v>0</v>
      </c>
      <c r="AZ26" s="605">
        <f>IF(ISNUMBER(Vic!L20),Vic!L20*1000000/AZ$7,"")</f>
        <v>0</v>
      </c>
      <c r="BA26" s="606">
        <f>IF(ISNUMBER(WA!L20),WA!L20*1000000/BA$7,"")</f>
        <v>0.36444794328678493</v>
      </c>
      <c r="BB26" s="606">
        <f>IF(ISNUMBER(WA!M20),WA!M20*1000000/BB$7,"")</f>
        <v>1.1699467826167849</v>
      </c>
      <c r="BC26" s="617">
        <f t="shared" si="0"/>
        <v>0.13949042962759725</v>
      </c>
      <c r="BE26" s="604">
        <v>0</v>
      </c>
      <c r="BF26" s="606">
        <v>0</v>
      </c>
      <c r="BG26" s="606">
        <f>SUM([2]NT!M20:N20)</f>
        <v>0</v>
      </c>
      <c r="BH26" s="606">
        <v>0</v>
      </c>
      <c r="BI26" s="606"/>
      <c r="BJ26" s="606"/>
      <c r="BK26" s="606">
        <v>1.5909273303284841</v>
      </c>
      <c r="BL26" s="605">
        <v>7.3245823563832513</v>
      </c>
    </row>
    <row r="27" spans="2:64">
      <c r="B27" s="903"/>
      <c r="C27" s="873"/>
      <c r="D27" s="602" t="s">
        <v>142</v>
      </c>
      <c r="E27" s="620" t="s">
        <v>143</v>
      </c>
      <c r="F27" s="154">
        <f>IF(ISNUMBER(ACT!K21),ACT!K21,"")</f>
        <v>0</v>
      </c>
      <c r="G27" s="591" t="s">
        <v>812</v>
      </c>
      <c r="H27" s="155">
        <f>IF(ISNUMBER(ACT!L21),ACT!L21,"")</f>
        <v>0</v>
      </c>
      <c r="I27" s="592" t="s">
        <v>812</v>
      </c>
      <c r="J27" s="155">
        <f>IF(ISNUMBER(NSW!K21),NSW!K21,"")</f>
        <v>0</v>
      </c>
      <c r="K27" s="591" t="s">
        <v>812</v>
      </c>
      <c r="L27" s="155">
        <f>IF(ISNUMBER(NSW!L21),NSW!L21,"")</f>
        <v>0</v>
      </c>
      <c r="M27" s="592" t="s">
        <v>812</v>
      </c>
      <c r="N27" s="154" t="str">
        <f>IF(ISNUMBER(NT!K21),NT!K21,"")</f>
        <v/>
      </c>
      <c r="O27" s="591" t="s">
        <v>812</v>
      </c>
      <c r="P27" s="155">
        <f>IF(ISNUMBER(NT!L21),NT!L21,"")</f>
        <v>0</v>
      </c>
      <c r="Q27" s="592" t="s">
        <v>812</v>
      </c>
      <c r="R27" s="154" t="str">
        <f>IF(ISNUMBER(Qld!K21),Qld!K21,"")</f>
        <v/>
      </c>
      <c r="S27" s="591" t="s">
        <v>812</v>
      </c>
      <c r="T27" s="155">
        <f>IF(ISNUMBER(Qld!L21),Qld!L21,"")</f>
        <v>0</v>
      </c>
      <c r="U27" s="592" t="s">
        <v>812</v>
      </c>
      <c r="V27" s="154" t="str">
        <f>IF(ISNUMBER(SA!K21),SA!K21,"")</f>
        <v/>
      </c>
      <c r="W27" s="591" t="s">
        <v>812</v>
      </c>
      <c r="X27" s="155">
        <f>IF(ISNUMBER(SA!L21),SA!L21,"")</f>
        <v>0</v>
      </c>
      <c r="Y27" s="592" t="s">
        <v>812</v>
      </c>
      <c r="Z27" s="154" t="str">
        <f>IF(ISNUMBER(TAS!K21),TAS!K21,"")</f>
        <v/>
      </c>
      <c r="AA27" s="591" t="s">
        <v>812</v>
      </c>
      <c r="AB27" s="155" t="str">
        <f>IF(ISNUMBER(TAS!L21),TAS!L21,"")</f>
        <v/>
      </c>
      <c r="AC27" s="592" t="s">
        <v>812</v>
      </c>
      <c r="AD27" s="154">
        <f>IF(ISNUMBER(Vic!K21),Vic!K21,"")</f>
        <v>0</v>
      </c>
      <c r="AE27" s="595" t="s">
        <v>812</v>
      </c>
      <c r="AF27" s="155">
        <f>IF(ISNUMBER(Vic!L21),Vic!L21,"")</f>
        <v>0</v>
      </c>
      <c r="AG27" s="594" t="s">
        <v>812</v>
      </c>
      <c r="AH27" s="154">
        <f>IF(ISNUMBER(WA!L21),WA!L21,"")</f>
        <v>0.2</v>
      </c>
      <c r="AI27" s="591" t="s">
        <v>812</v>
      </c>
      <c r="AJ27" s="155">
        <f>IF(ISNUMBER(WA!M21),WA!M21,"")</f>
        <v>0</v>
      </c>
      <c r="AK27" s="592" t="s">
        <v>812</v>
      </c>
      <c r="AL27" s="768"/>
      <c r="AM27" s="604">
        <f>IF(ISNUMBER(ACT!K21),ACT!K21*1000000/AM$7,"")</f>
        <v>0</v>
      </c>
      <c r="AN27" s="605">
        <f>IF(ISNUMBER(ACT!L21),ACT!L21*1000000/AN$7,"")</f>
        <v>0</v>
      </c>
      <c r="AO27" s="606">
        <f>IF(ISNUMBER(NSW!K21),NSW!K21*1000000/AO$7,"")</f>
        <v>0</v>
      </c>
      <c r="AP27" s="606">
        <f>IF(ISNUMBER(NSW!L21),NSW!L21*1000000/AP$7,"")</f>
        <v>0</v>
      </c>
      <c r="AQ27" s="604" t="str">
        <f>IF(ISNUMBER(NT!K21),NT!K21*1000000/AQ$7,"")</f>
        <v/>
      </c>
      <c r="AR27" s="605">
        <f>IF(ISNUMBER(NT!L21),NT!L21*1000000/AR$7,"")</f>
        <v>0</v>
      </c>
      <c r="AS27" s="606" t="str">
        <f>IF(ISNUMBER(Qld!K21),Qld!K21*1000000/AS$7,"")</f>
        <v/>
      </c>
      <c r="AT27" s="606">
        <f>IF(ISNUMBER(Qld!L21),Qld!L21*1000000/AT$7,"")</f>
        <v>0</v>
      </c>
      <c r="AU27" s="604" t="str">
        <f>IF(ISNUMBER(SA!K21),SA!K21*1000000/AU$7,"")</f>
        <v/>
      </c>
      <c r="AV27" s="605">
        <f>IF(ISNUMBER(SA!L21),SA!L21*1000000/AV$7,"")</f>
        <v>0</v>
      </c>
      <c r="AW27" s="606" t="str">
        <f>IF(ISNUMBER(TAS!K21),TAS!K21*1000000/AW$7,"")</f>
        <v/>
      </c>
      <c r="AX27" s="606" t="str">
        <f>IF(ISNUMBER(TAS!L21),TAS!L21*1000000/AX$7,"")</f>
        <v/>
      </c>
      <c r="AY27" s="604">
        <f>IF(ISNUMBER(Vic!K21),Vic!K21*1000000/AY$7,"")</f>
        <v>0</v>
      </c>
      <c r="AZ27" s="605">
        <f>IF(ISNUMBER(Vic!L21),Vic!L21*1000000/AZ$7,"")</f>
        <v>0</v>
      </c>
      <c r="BA27" s="606">
        <f>IF(ISNUMBER(WA!L21),WA!L21*1000000/BA$7,"")</f>
        <v>7.9922794580435302E-2</v>
      </c>
      <c r="BB27" s="606">
        <f>IF(ISNUMBER(WA!M21),WA!M21*1000000/BB$7,"")</f>
        <v>0</v>
      </c>
      <c r="BC27" s="617">
        <f t="shared" si="0"/>
        <v>7.2657085982213909E-3</v>
      </c>
      <c r="BE27" s="604">
        <v>0</v>
      </c>
      <c r="BF27" s="606">
        <v>0</v>
      </c>
      <c r="BG27" s="606">
        <f>SUM([2]NT!M21:N21)</f>
        <v>0</v>
      </c>
      <c r="BH27" s="606">
        <v>0</v>
      </c>
      <c r="BI27" s="606">
        <v>0.16945613658164607</v>
      </c>
      <c r="BJ27" s="606"/>
      <c r="BK27" s="606">
        <v>1.0606182202189893</v>
      </c>
      <c r="BL27" s="605">
        <v>0.41247403457405857</v>
      </c>
    </row>
    <row r="28" spans="2:64">
      <c r="B28" s="903"/>
      <c r="C28" s="873"/>
      <c r="D28" s="602" t="s">
        <v>20</v>
      </c>
      <c r="E28" s="620" t="s">
        <v>91</v>
      </c>
      <c r="F28" s="154">
        <f>IF(ISNUMBER(ACT!K22),ACT!K22,"")</f>
        <v>0</v>
      </c>
      <c r="G28" s="591" t="s">
        <v>812</v>
      </c>
      <c r="H28" s="155">
        <f>IF(ISNUMBER(ACT!L22),ACT!L22,"")</f>
        <v>0</v>
      </c>
      <c r="I28" s="592" t="s">
        <v>812</v>
      </c>
      <c r="J28" s="155">
        <f>IF(ISNUMBER(NSW!K22),NSW!K22,"")</f>
        <v>7.1749999999999998</v>
      </c>
      <c r="K28" s="591" t="s">
        <v>812</v>
      </c>
      <c r="L28" s="155">
        <f>IF(ISNUMBER(NSW!L22),NSW!L22,"")</f>
        <v>1.52</v>
      </c>
      <c r="M28" s="592" t="s">
        <v>812</v>
      </c>
      <c r="N28" s="154" t="str">
        <f>IF(ISNUMBER(NT!K22),NT!K22,"")</f>
        <v/>
      </c>
      <c r="O28" s="591" t="s">
        <v>812</v>
      </c>
      <c r="P28" s="155">
        <f>IF(ISNUMBER(NT!L22),NT!L22,"")</f>
        <v>0</v>
      </c>
      <c r="Q28" s="592" t="s">
        <v>812</v>
      </c>
      <c r="R28" s="154" t="str">
        <f>IF(ISNUMBER(Qld!K22),Qld!K22,"")</f>
        <v/>
      </c>
      <c r="S28" s="591" t="s">
        <v>812</v>
      </c>
      <c r="T28" s="155">
        <f>IF(ISNUMBER(Qld!L22),Qld!L22,"")</f>
        <v>419</v>
      </c>
      <c r="U28" s="592" t="s">
        <v>812</v>
      </c>
      <c r="V28" s="154" t="str">
        <f>IF(ISNUMBER(SA!K22),SA!K22,"")</f>
        <v/>
      </c>
      <c r="W28" s="591" t="s">
        <v>812</v>
      </c>
      <c r="X28" s="155">
        <f>IF(ISNUMBER(SA!L22),SA!L22,"")</f>
        <v>53.08</v>
      </c>
      <c r="Y28" s="592" t="s">
        <v>812</v>
      </c>
      <c r="Z28" s="154" t="str">
        <f>IF(ISNUMBER(TAS!K22),TAS!K22,"")</f>
        <v/>
      </c>
      <c r="AA28" s="591" t="s">
        <v>812</v>
      </c>
      <c r="AB28" s="155" t="str">
        <f>IF(ISNUMBER(TAS!L22),TAS!L22,"")</f>
        <v/>
      </c>
      <c r="AC28" s="592" t="s">
        <v>812</v>
      </c>
      <c r="AD28" s="154">
        <f>IF(ISNUMBER(Vic!K22),Vic!K22,"")</f>
        <v>193.041</v>
      </c>
      <c r="AE28" s="595" t="s">
        <v>812</v>
      </c>
      <c r="AF28" s="155">
        <f>IF(ISNUMBER(Vic!L22),Vic!L22,"")</f>
        <v>109.06</v>
      </c>
      <c r="AG28" s="594" t="s">
        <v>812</v>
      </c>
      <c r="AH28" s="154">
        <f>IF(ISNUMBER(WA!L22),WA!L22,"")</f>
        <v>3</v>
      </c>
      <c r="AI28" s="591" t="s">
        <v>812</v>
      </c>
      <c r="AJ28" s="155">
        <f>IF(ISNUMBER(WA!M22),WA!M22,"")</f>
        <v>3.44</v>
      </c>
      <c r="AK28" s="592" t="s">
        <v>812</v>
      </c>
      <c r="AL28" s="768"/>
      <c r="AM28" s="604">
        <f>IF(ISNUMBER(ACT!K22),ACT!K22*1000000/AM$7,"")</f>
        <v>0</v>
      </c>
      <c r="AN28" s="605">
        <f>IF(ISNUMBER(ACT!L22),ACT!L22*1000000/AN$7,"")</f>
        <v>0</v>
      </c>
      <c r="AO28" s="606">
        <f>IF(ISNUMBER(NSW!K22),NSW!K22*1000000/AO$7,"")</f>
        <v>0.97184770530164255</v>
      </c>
      <c r="AP28" s="606">
        <f>IF(ISNUMBER(NSW!L22),NSW!L22*1000000/AP$7,"")</f>
        <v>0.20434570722772111</v>
      </c>
      <c r="AQ28" s="604" t="str">
        <f>IF(ISNUMBER(NT!K22),NT!K22*1000000/AQ$7,"")</f>
        <v/>
      </c>
      <c r="AR28" s="605">
        <f>IF(ISNUMBER(NT!L22),NT!L22*1000000/AR$7,"")</f>
        <v>0</v>
      </c>
      <c r="AS28" s="606" t="str">
        <f>IF(ISNUMBER(Qld!K22),Qld!K22*1000000/AS$7,"")</f>
        <v/>
      </c>
      <c r="AT28" s="606">
        <f>IF(ISNUMBER(Qld!L22),Qld!L22*1000000/AT$7,"")</f>
        <v>89.633280088170054</v>
      </c>
      <c r="AU28" s="604" t="str">
        <f>IF(ISNUMBER(SA!K22),SA!K22*1000000/AU$7,"")</f>
        <v/>
      </c>
      <c r="AV28" s="605">
        <f>IF(ISNUMBER(SA!L22),SA!L22*1000000/AV$7,"")</f>
        <v>31.697973491464897</v>
      </c>
      <c r="AW28" s="606" t="str">
        <f>IF(ISNUMBER(TAS!K22),TAS!K22*1000000/AW$7,"")</f>
        <v/>
      </c>
      <c r="AX28" s="606" t="str">
        <f>IF(ISNUMBER(TAS!L22),TAS!L22*1000000/AX$7,"")</f>
        <v/>
      </c>
      <c r="AY28" s="604">
        <f>IF(ISNUMBER(Vic!K22),Vic!K22*1000000/AY$7,"")</f>
        <v>33.779672770739509</v>
      </c>
      <c r="AZ28" s="605">
        <f>IF(ISNUMBER(Vic!L22),Vic!L22*1000000/AZ$7,"")</f>
        <v>18.907308075046721</v>
      </c>
      <c r="BA28" s="606">
        <f>IF(ISNUMBER(WA!L22),WA!L22*1000000/BA$7,"")</f>
        <v>1.1988419187065296</v>
      </c>
      <c r="BB28" s="606">
        <f>IF(ISNUMBER(WA!M22),WA!M22*1000000/BB$7,"")</f>
        <v>1.3559573236082814</v>
      </c>
      <c r="BC28" s="617">
        <f t="shared" si="0"/>
        <v>16.159020643660487</v>
      </c>
      <c r="BE28" s="604">
        <v>0</v>
      </c>
      <c r="BF28" s="606">
        <v>25.41453670912124</v>
      </c>
      <c r="BG28" s="606">
        <f>SUM([2]NT!M22:N22)</f>
        <v>0</v>
      </c>
      <c r="BH28" s="606">
        <v>129.55464502884774</v>
      </c>
      <c r="BI28" s="606">
        <v>16.947153059545997</v>
      </c>
      <c r="BJ28" s="606"/>
      <c r="BK28" s="606">
        <v>37.398270946612314</v>
      </c>
      <c r="BL28" s="605">
        <v>176.47791326558962</v>
      </c>
    </row>
    <row r="29" spans="2:64">
      <c r="B29" s="903"/>
      <c r="C29" s="873"/>
      <c r="D29" s="602" t="s">
        <v>21</v>
      </c>
      <c r="E29" s="620" t="s">
        <v>144</v>
      </c>
      <c r="F29" s="154">
        <f>IF(ISNUMBER(ACT!K23),ACT!K23,"")</f>
        <v>0</v>
      </c>
      <c r="G29" s="591" t="s">
        <v>812</v>
      </c>
      <c r="H29" s="155">
        <f>IF(ISNUMBER(ACT!L23),ACT!L23,"")</f>
        <v>0</v>
      </c>
      <c r="I29" s="592" t="s">
        <v>812</v>
      </c>
      <c r="J29" s="155">
        <f>IF(ISNUMBER(NSW!K23),NSW!K23,"")</f>
        <v>0</v>
      </c>
      <c r="K29" s="591" t="s">
        <v>812</v>
      </c>
      <c r="L29" s="155">
        <f>IF(ISNUMBER(NSW!L23),NSW!L23,"")</f>
        <v>0</v>
      </c>
      <c r="M29" s="592" t="s">
        <v>812</v>
      </c>
      <c r="N29" s="154" t="str">
        <f>IF(ISNUMBER(NT!K23),NT!K23,"")</f>
        <v/>
      </c>
      <c r="O29" s="591" t="s">
        <v>812</v>
      </c>
      <c r="P29" s="155">
        <f>IF(ISNUMBER(NT!L23),NT!L23,"")</f>
        <v>0</v>
      </c>
      <c r="Q29" s="592" t="s">
        <v>812</v>
      </c>
      <c r="R29" s="154" t="str">
        <f>IF(ISNUMBER(Qld!K23),Qld!K23,"")</f>
        <v/>
      </c>
      <c r="S29" s="591" t="s">
        <v>812</v>
      </c>
      <c r="T29" s="155" t="str">
        <f>IF(ISNUMBER(Qld!L23),Qld!L23,"")</f>
        <v/>
      </c>
      <c r="U29" s="592" t="s">
        <v>812</v>
      </c>
      <c r="V29" s="154" t="str">
        <f>IF(ISNUMBER(SA!K23),SA!K23,"")</f>
        <v/>
      </c>
      <c r="W29" s="591" t="s">
        <v>812</v>
      </c>
      <c r="X29" s="155">
        <f>IF(ISNUMBER(SA!L23),SA!L23,"")</f>
        <v>0</v>
      </c>
      <c r="Y29" s="592" t="s">
        <v>812</v>
      </c>
      <c r="Z29" s="154" t="str">
        <f>IF(ISNUMBER(TAS!K23),TAS!K23,"")</f>
        <v/>
      </c>
      <c r="AA29" s="591" t="s">
        <v>812</v>
      </c>
      <c r="AB29" s="155" t="str">
        <f>IF(ISNUMBER(TAS!L23),TAS!L23,"")</f>
        <v/>
      </c>
      <c r="AC29" s="592" t="s">
        <v>812</v>
      </c>
      <c r="AD29" s="154">
        <f>IF(ISNUMBER(Vic!K23),Vic!K23,"")</f>
        <v>0</v>
      </c>
      <c r="AE29" s="595" t="s">
        <v>812</v>
      </c>
      <c r="AF29" s="155">
        <f>IF(ISNUMBER(Vic!L23),Vic!L23,"")</f>
        <v>2</v>
      </c>
      <c r="AG29" s="594" t="s">
        <v>812</v>
      </c>
      <c r="AH29" s="154">
        <f>IF(ISNUMBER(WA!L23),WA!L23,"")</f>
        <v>1.6</v>
      </c>
      <c r="AI29" s="591" t="s">
        <v>812</v>
      </c>
      <c r="AJ29" s="155">
        <f>IF(ISNUMBER(WA!M23),WA!M23,"")</f>
        <v>1</v>
      </c>
      <c r="AK29" s="592" t="s">
        <v>812</v>
      </c>
      <c r="AL29" s="768"/>
      <c r="AM29" s="604">
        <f>IF(ISNUMBER(ACT!K23),ACT!K23*1000000/AM$7,"")</f>
        <v>0</v>
      </c>
      <c r="AN29" s="605">
        <f>IF(ISNUMBER(ACT!L23),ACT!L23*1000000/AN$7,"")</f>
        <v>0</v>
      </c>
      <c r="AO29" s="606">
        <f>IF(ISNUMBER(NSW!K23),NSW!K23*1000000/AO$7,"")</f>
        <v>0</v>
      </c>
      <c r="AP29" s="606">
        <f>IF(ISNUMBER(NSW!L23),NSW!L23*1000000/AP$7,"")</f>
        <v>0</v>
      </c>
      <c r="AQ29" s="604" t="str">
        <f>IF(ISNUMBER(NT!K23),NT!K23*1000000/AQ$7,"")</f>
        <v/>
      </c>
      <c r="AR29" s="605">
        <f>IF(ISNUMBER(NT!L23),NT!L23*1000000/AR$7,"")</f>
        <v>0</v>
      </c>
      <c r="AS29" s="606" t="str">
        <f>IF(ISNUMBER(Qld!K23),Qld!K23*1000000/AS$7,"")</f>
        <v/>
      </c>
      <c r="AT29" s="606" t="str">
        <f>IF(ISNUMBER(Qld!L23),Qld!L23*1000000/AT$7,"")</f>
        <v/>
      </c>
      <c r="AU29" s="604" t="str">
        <f>IF(ISNUMBER(SA!K23),SA!K23*1000000/AU$7,"")</f>
        <v/>
      </c>
      <c r="AV29" s="605">
        <f>IF(ISNUMBER(SA!L23),SA!L23*1000000/AV$7,"")</f>
        <v>0</v>
      </c>
      <c r="AW29" s="606" t="str">
        <f>IF(ISNUMBER(TAS!K23),TAS!K23*1000000/AW$7,"")</f>
        <v/>
      </c>
      <c r="AX29" s="606" t="str">
        <f>IF(ISNUMBER(TAS!L23),TAS!L23*1000000/AX$7,"")</f>
        <v/>
      </c>
      <c r="AY29" s="604">
        <f>IF(ISNUMBER(Vic!K23),Vic!K23*1000000/AY$7,"")</f>
        <v>0</v>
      </c>
      <c r="AZ29" s="605">
        <f>IF(ISNUMBER(Vic!L23),Vic!L23*1000000/AZ$7,"")</f>
        <v>0.34673222217213867</v>
      </c>
      <c r="BA29" s="606">
        <f>IF(ISNUMBER(WA!L23),WA!L23*1000000/BA$7,"")</f>
        <v>0.63938235664348242</v>
      </c>
      <c r="BB29" s="606">
        <f>IF(ISNUMBER(WA!M23),WA!M23*1000000/BB$7,"")</f>
        <v>0.39417364058380272</v>
      </c>
      <c r="BC29" s="617">
        <f t="shared" si="0"/>
        <v>0.1380288219399424</v>
      </c>
      <c r="BE29" s="604">
        <v>0</v>
      </c>
      <c r="BF29" s="606">
        <v>136.84964393503452</v>
      </c>
      <c r="BG29" s="606">
        <f>SUM([2]NT!M23:N23)</f>
        <v>0</v>
      </c>
      <c r="BH29" s="606"/>
      <c r="BI29" s="606"/>
      <c r="BJ29" s="606"/>
      <c r="BK29" s="606">
        <v>0</v>
      </c>
      <c r="BL29" s="605">
        <v>0.26553995591748342</v>
      </c>
    </row>
    <row r="30" spans="2:64">
      <c r="B30" s="903"/>
      <c r="C30" s="873"/>
      <c r="D30" s="602" t="s">
        <v>22</v>
      </c>
      <c r="E30" s="620" t="s">
        <v>92</v>
      </c>
      <c r="F30" s="154">
        <f>IF(ISNUMBER(ACT!K24),ACT!K24,"")</f>
        <v>0</v>
      </c>
      <c r="G30" s="591" t="s">
        <v>812</v>
      </c>
      <c r="H30" s="155">
        <f>IF(ISNUMBER(ACT!L24),ACT!L24,"")</f>
        <v>0</v>
      </c>
      <c r="I30" s="592" t="s">
        <v>812</v>
      </c>
      <c r="J30" s="155">
        <f>IF(ISNUMBER(NSW!K24),NSW!K24,"")</f>
        <v>1.4750000000000001</v>
      </c>
      <c r="K30" s="591" t="s">
        <v>812</v>
      </c>
      <c r="L30" s="155">
        <f>IF(ISNUMBER(NSW!L24),NSW!L24,"")</f>
        <v>0.02</v>
      </c>
      <c r="M30" s="592" t="s">
        <v>812</v>
      </c>
      <c r="N30" s="154" t="str">
        <f>IF(ISNUMBER(NT!K24),NT!K24,"")</f>
        <v/>
      </c>
      <c r="O30" s="591" t="s">
        <v>812</v>
      </c>
      <c r="P30" s="155">
        <f>IF(ISNUMBER(NT!L24),NT!L24,"")</f>
        <v>0</v>
      </c>
      <c r="Q30" s="592" t="s">
        <v>812</v>
      </c>
      <c r="R30" s="154" t="str">
        <f>IF(ISNUMBER(Qld!K24),Qld!K24,"")</f>
        <v/>
      </c>
      <c r="S30" s="591" t="s">
        <v>812</v>
      </c>
      <c r="T30" s="155">
        <f>IF(ISNUMBER(Qld!L24),Qld!L24,"")</f>
        <v>128</v>
      </c>
      <c r="U30" s="592" t="s">
        <v>812</v>
      </c>
      <c r="V30" s="154" t="str">
        <f>IF(ISNUMBER(SA!K24),SA!K24,"")</f>
        <v/>
      </c>
      <c r="W30" s="591" t="s">
        <v>812</v>
      </c>
      <c r="X30" s="155">
        <f>IF(ISNUMBER(SA!L24),SA!L24,"")</f>
        <v>812.53</v>
      </c>
      <c r="Y30" s="592" t="s">
        <v>812</v>
      </c>
      <c r="Z30" s="154" t="str">
        <f>IF(ISNUMBER(TAS!K24),TAS!K24,"")</f>
        <v/>
      </c>
      <c r="AA30" s="591" t="s">
        <v>812</v>
      </c>
      <c r="AB30" s="155" t="str">
        <f>IF(ISNUMBER(TAS!L24),TAS!L24,"")</f>
        <v/>
      </c>
      <c r="AC30" s="592" t="s">
        <v>812</v>
      </c>
      <c r="AD30" s="154">
        <f>IF(ISNUMBER(Vic!K24),Vic!K24,"")</f>
        <v>64.932999999999993</v>
      </c>
      <c r="AE30" s="595" t="s">
        <v>812</v>
      </c>
      <c r="AF30" s="155">
        <f>IF(ISNUMBER(Vic!L24),Vic!L24,"")</f>
        <v>13.94</v>
      </c>
      <c r="AG30" s="594" t="s">
        <v>812</v>
      </c>
      <c r="AH30" s="154">
        <f>IF(ISNUMBER(WA!L24),WA!L24,"")</f>
        <v>3.5009999999999999</v>
      </c>
      <c r="AI30" s="591" t="s">
        <v>812</v>
      </c>
      <c r="AJ30" s="155">
        <f>IF(ISNUMBER(WA!M24),WA!M24,"")</f>
        <v>90.65100000000001</v>
      </c>
      <c r="AK30" s="592" t="s">
        <v>812</v>
      </c>
      <c r="AL30" s="768"/>
      <c r="AM30" s="604">
        <f>IF(ISNUMBER(ACT!K24),ACT!K24*1000000/AM$7,"")</f>
        <v>0</v>
      </c>
      <c r="AN30" s="605">
        <f>IF(ISNUMBER(ACT!L24),ACT!L24*1000000/AN$7,"")</f>
        <v>0</v>
      </c>
      <c r="AO30" s="606">
        <f>IF(ISNUMBER(NSW!K24),NSW!K24*1000000/AO$7,"")</f>
        <v>0.1997875073616617</v>
      </c>
      <c r="AP30" s="606">
        <f>IF(ISNUMBER(NSW!L24),NSW!L24*1000000/AP$7,"")</f>
        <v>2.6887593056279095E-3</v>
      </c>
      <c r="AQ30" s="604" t="str">
        <f>IF(ISNUMBER(NT!K24),NT!K24*1000000/AQ$7,"")</f>
        <v/>
      </c>
      <c r="AR30" s="605">
        <f>IF(ISNUMBER(NT!L24),NT!L24*1000000/AR$7,"")</f>
        <v>0</v>
      </c>
      <c r="AS30" s="606" t="str">
        <f>IF(ISNUMBER(Qld!K24),Qld!K24*1000000/AS$7,"")</f>
        <v/>
      </c>
      <c r="AT30" s="606">
        <f>IF(ISNUMBER(Qld!L24),Qld!L24*1000000/AT$7,"")</f>
        <v>27.382004418343119</v>
      </c>
      <c r="AU30" s="604" t="str">
        <f>IF(ISNUMBER(SA!K24),SA!K24*1000000/AU$7,"")</f>
        <v/>
      </c>
      <c r="AV30" s="605">
        <f>IF(ISNUMBER(SA!L24),SA!L24*1000000/AV$7,"")</f>
        <v>485.22144689186081</v>
      </c>
      <c r="AW30" s="606" t="str">
        <f>IF(ISNUMBER(TAS!K24),TAS!K24*1000000/AW$7,"")</f>
        <v/>
      </c>
      <c r="AX30" s="606" t="str">
        <f>IF(ISNUMBER(TAS!L24),TAS!L24*1000000/AX$7,"")</f>
        <v/>
      </c>
      <c r="AY30" s="604">
        <f>IF(ISNUMBER(Vic!K24),Vic!K24*1000000/AY$7,"")</f>
        <v>11.362433327751246</v>
      </c>
      <c r="AZ30" s="605">
        <f>IF(ISNUMBER(Vic!L24),Vic!L24*1000000/AZ$7,"")</f>
        <v>2.4167235885398064</v>
      </c>
      <c r="BA30" s="606">
        <f>IF(ISNUMBER(WA!L24),WA!L24*1000000/BA$7,"")</f>
        <v>1.39904851913052</v>
      </c>
      <c r="BB30" s="606">
        <f>IF(ISNUMBER(WA!M24),WA!M24*1000000/BB$7,"")</f>
        <v>35.732234692562301</v>
      </c>
      <c r="BC30" s="617">
        <f t="shared" si="0"/>
        <v>51.246942518623179</v>
      </c>
      <c r="BE30" s="604">
        <v>0</v>
      </c>
      <c r="BF30" s="606">
        <v>25.229295254491387</v>
      </c>
      <c r="BG30" s="606">
        <f>SUM([2]NT!M24:N24)</f>
        <v>0</v>
      </c>
      <c r="BH30" s="606">
        <v>27.136445918204593</v>
      </c>
      <c r="BI30" s="606">
        <v>8.2419370403129744</v>
      </c>
      <c r="BJ30" s="606"/>
      <c r="BK30" s="606">
        <v>47.345879481174983</v>
      </c>
      <c r="BL30" s="605">
        <v>12.056423404340595</v>
      </c>
    </row>
    <row r="31" spans="2:64">
      <c r="B31" s="903"/>
      <c r="C31" s="873"/>
      <c r="D31" s="602" t="s">
        <v>23</v>
      </c>
      <c r="E31" s="620" t="s">
        <v>93</v>
      </c>
      <c r="F31" s="154">
        <f>IF(ISNUMBER(ACT!K25),ACT!K25,"")</f>
        <v>93.96</v>
      </c>
      <c r="G31" s="591" t="s">
        <v>812</v>
      </c>
      <c r="H31" s="155">
        <f>IF(ISNUMBER(ACT!L25),ACT!L25,"")</f>
        <v>70.37</v>
      </c>
      <c r="I31" s="592" t="s">
        <v>812</v>
      </c>
      <c r="J31" s="155">
        <f>IF(ISNUMBER(NSW!K25),NSW!K25,"")</f>
        <v>17850.620400000007</v>
      </c>
      <c r="K31" s="591" t="s">
        <v>812</v>
      </c>
      <c r="L31" s="155">
        <f>IF(ISNUMBER(NSW!L25),NSW!L25,"")</f>
        <v>21991.827899999989</v>
      </c>
      <c r="M31" s="592" t="s">
        <v>812</v>
      </c>
      <c r="N31" s="154" t="str">
        <f>IF(ISNUMBER(NT!K25),NT!K25,"")</f>
        <v/>
      </c>
      <c r="O31" s="591" t="s">
        <v>812</v>
      </c>
      <c r="P31" s="155">
        <f>IF(ISNUMBER(NT!L25),NT!L25,"")</f>
        <v>979.15821639488399</v>
      </c>
      <c r="Q31" s="592" t="s">
        <v>812</v>
      </c>
      <c r="R31" s="154" t="str">
        <f>IF(ISNUMBER(Qld!K25),Qld!K25,"")</f>
        <v/>
      </c>
      <c r="S31" s="591" t="s">
        <v>812</v>
      </c>
      <c r="T31" s="155">
        <f>IF(ISNUMBER(Qld!L25),Qld!L25,"")</f>
        <v>13605</v>
      </c>
      <c r="U31" s="592" t="s">
        <v>812</v>
      </c>
      <c r="V31" s="154" t="str">
        <f>IF(ISNUMBER(SA!K25),SA!K25,"")</f>
        <v/>
      </c>
      <c r="W31" s="591" t="s">
        <v>812</v>
      </c>
      <c r="X31" s="155">
        <f>IF(ISNUMBER(SA!L25),SA!L25,"")</f>
        <v>66447.789999999994</v>
      </c>
      <c r="Y31" s="592" t="s">
        <v>812</v>
      </c>
      <c r="Z31" s="154" t="str">
        <f>IF(ISNUMBER(TAS!K25),TAS!K25,"")</f>
        <v/>
      </c>
      <c r="AA31" s="591" t="s">
        <v>812</v>
      </c>
      <c r="AB31" s="155">
        <f>IF(ISNUMBER(TAS!L25),TAS!L25,"")</f>
        <v>10413.286</v>
      </c>
      <c r="AC31" s="592" t="s">
        <v>812</v>
      </c>
      <c r="AD31" s="154">
        <f>IF(ISNUMBER(Vic!K25),Vic!K25,"")</f>
        <v>696.58699999999999</v>
      </c>
      <c r="AE31" s="595" t="s">
        <v>812</v>
      </c>
      <c r="AF31" s="155">
        <f>IF(ISNUMBER(Vic!L25),Vic!L25,"")</f>
        <v>576.23500000000001</v>
      </c>
      <c r="AG31" s="594" t="s">
        <v>812</v>
      </c>
      <c r="AH31" s="154">
        <f>IF(ISNUMBER(WA!L25),WA!L25,"")</f>
        <v>145.06100000000004</v>
      </c>
      <c r="AI31" s="591" t="s">
        <v>812</v>
      </c>
      <c r="AJ31" s="155">
        <f>IF(ISNUMBER(WA!M25),WA!M25,"")</f>
        <v>304.19750000000005</v>
      </c>
      <c r="AK31" s="592" t="s">
        <v>812</v>
      </c>
      <c r="AL31" s="768"/>
      <c r="AM31" s="604">
        <f>IF(ISNUMBER(ACT!K25),ACT!K25*1000000/AM$7,"")</f>
        <v>247.3054601444984</v>
      </c>
      <c r="AN31" s="605">
        <f>IF(ISNUMBER(ACT!L25),ACT!L25*1000000/AN$7,"")</f>
        <v>183.80854865167012</v>
      </c>
      <c r="AO31" s="606">
        <f>IF(ISNUMBER(NSW!K25),NSW!K25*1000000/AO$7,"")</f>
        <v>2417.8514946272749</v>
      </c>
      <c r="AP31" s="606">
        <f>IF(ISNUMBER(NSW!L25),NSW!L25*1000000/AP$7,"")</f>
        <v>2956.5365956946225</v>
      </c>
      <c r="AQ31" s="604" t="str">
        <f>IF(ISNUMBER(NT!K25),NT!K25*1000000/AQ$7,"")</f>
        <v/>
      </c>
      <c r="AR31" s="605">
        <f>IF(ISNUMBER(NT!L25),NT!L25*1000000/AR$7,"")</f>
        <v>4042.5669099585652</v>
      </c>
      <c r="AS31" s="606" t="str">
        <f>IF(ISNUMBER(Qld!K25),Qld!K25*1000000/AS$7,"")</f>
        <v/>
      </c>
      <c r="AT31" s="606">
        <f>IF(ISNUMBER(Qld!L25),Qld!L25*1000000/AT$7,"")</f>
        <v>2910.4075789965477</v>
      </c>
      <c r="AU31" s="604" t="str">
        <f>IF(ISNUMBER(SA!K25),SA!K25*1000000/AU$7,"")</f>
        <v/>
      </c>
      <c r="AV31" s="605">
        <f>IF(ISNUMBER(SA!L25),SA!L25*1000000/AV$7,"")</f>
        <v>39680.864468470725</v>
      </c>
      <c r="AW31" s="606" t="str">
        <f>IF(ISNUMBER(TAS!K25),TAS!K25*1000000/AW$7,"")</f>
        <v/>
      </c>
      <c r="AX31" s="606">
        <f>IF(ISNUMBER(TAS!L25),TAS!L25*1000000/AX$7,"")</f>
        <v>20282.98792364628</v>
      </c>
      <c r="AY31" s="604">
        <f>IF(ISNUMBER(Vic!K25),Vic!K25*1000000/AY$7,"")</f>
        <v>121.89369572448921</v>
      </c>
      <c r="AZ31" s="605">
        <f>IF(ISNUMBER(Vic!L25),Vic!L25*1000000/AZ$7,"")</f>
        <v>99.89962102168117</v>
      </c>
      <c r="BA31" s="606">
        <f>IF(ISNUMBER(WA!L25),WA!L25*1000000/BA$7,"")</f>
        <v>57.968402523162638</v>
      </c>
      <c r="BB31" s="606">
        <f>IF(ISNUMBER(WA!M25),WA!M25*1000000/BB$7,"")</f>
        <v>119.90663603149135</v>
      </c>
      <c r="BC31" s="617">
        <f t="shared" si="0"/>
        <v>6093.4997779575851</v>
      </c>
      <c r="BE31" s="604">
        <v>773.75439163527687</v>
      </c>
      <c r="BF31" s="606">
        <v>27252.964863098241</v>
      </c>
      <c r="BG31" s="606">
        <f>SUM([2]NT!M25:N25)</f>
        <v>409.77</v>
      </c>
      <c r="BH31" s="606">
        <v>1619.8707474721805</v>
      </c>
      <c r="BI31" s="606">
        <v>11012.697877869057</v>
      </c>
      <c r="BJ31" s="606">
        <v>95.785916178661878</v>
      </c>
      <c r="BK31" s="606">
        <v>390.01078664055456</v>
      </c>
      <c r="BL31" s="605">
        <v>162.34366116508042</v>
      </c>
    </row>
    <row r="32" spans="2:64">
      <c r="B32" s="903"/>
      <c r="C32" s="873"/>
      <c r="D32" s="602" t="s">
        <v>24</v>
      </c>
      <c r="E32" s="620" t="s">
        <v>94</v>
      </c>
      <c r="F32" s="154">
        <f>IF(ISNUMBER(ACT!K26),ACT!K26,"")</f>
        <v>0</v>
      </c>
      <c r="G32" s="591" t="s">
        <v>812</v>
      </c>
      <c r="H32" s="155">
        <f>IF(ISNUMBER(ACT!L26),ACT!L26,"")</f>
        <v>0</v>
      </c>
      <c r="I32" s="592" t="s">
        <v>812</v>
      </c>
      <c r="J32" s="155">
        <f>IF(ISNUMBER(NSW!K26),NSW!K26,"")</f>
        <v>168.43200000000004</v>
      </c>
      <c r="K32" s="591" t="s">
        <v>812</v>
      </c>
      <c r="L32" s="155">
        <f>IF(ISNUMBER(NSW!L26),NSW!L26,"")</f>
        <v>195.15300000000002</v>
      </c>
      <c r="M32" s="592" t="s">
        <v>812</v>
      </c>
      <c r="N32" s="154" t="str">
        <f>IF(ISNUMBER(NT!K26),NT!K26,"")</f>
        <v/>
      </c>
      <c r="O32" s="591" t="s">
        <v>812</v>
      </c>
      <c r="P32" s="155">
        <f>IF(ISNUMBER(NT!L26),NT!L26,"")</f>
        <v>0</v>
      </c>
      <c r="Q32" s="592" t="s">
        <v>812</v>
      </c>
      <c r="R32" s="154" t="str">
        <f>IF(ISNUMBER(Qld!K26),Qld!K26,"")</f>
        <v/>
      </c>
      <c r="S32" s="591" t="s">
        <v>812</v>
      </c>
      <c r="T32" s="155">
        <f>IF(ISNUMBER(Qld!L26),Qld!L26,"")</f>
        <v>675</v>
      </c>
      <c r="U32" s="592" t="s">
        <v>812</v>
      </c>
      <c r="V32" s="154" t="str">
        <f>IF(ISNUMBER(SA!K26),SA!K26,"")</f>
        <v/>
      </c>
      <c r="W32" s="591" t="s">
        <v>812</v>
      </c>
      <c r="X32" s="155">
        <f>IF(ISNUMBER(SA!L26),SA!L26,"")</f>
        <v>91339.05</v>
      </c>
      <c r="Y32" s="592" t="s">
        <v>812</v>
      </c>
      <c r="Z32" s="154" t="str">
        <f>IF(ISNUMBER(TAS!K26),TAS!K26,"")</f>
        <v/>
      </c>
      <c r="AA32" s="591" t="s">
        <v>812</v>
      </c>
      <c r="AB32" s="155">
        <f>IF(ISNUMBER(TAS!L26),TAS!L26,"")</f>
        <v>111170</v>
      </c>
      <c r="AC32" s="592" t="s">
        <v>812</v>
      </c>
      <c r="AD32" s="154">
        <f>IF(ISNUMBER(Vic!K26),Vic!K26,"")</f>
        <v>6077.426999999997</v>
      </c>
      <c r="AE32" s="595" t="s">
        <v>812</v>
      </c>
      <c r="AF32" s="155">
        <f>IF(ISNUMBER(Vic!L26),Vic!L26,"")</f>
        <v>956.80199999999991</v>
      </c>
      <c r="AG32" s="594" t="s">
        <v>812</v>
      </c>
      <c r="AH32" s="154">
        <f>IF(ISNUMBER(WA!L26),WA!L26,"")</f>
        <v>227.233</v>
      </c>
      <c r="AI32" s="591" t="s">
        <v>812</v>
      </c>
      <c r="AJ32" s="155">
        <f>IF(ISNUMBER(WA!M26),WA!M26,"")</f>
        <v>646.10129999999992</v>
      </c>
      <c r="AK32" s="592" t="s">
        <v>812</v>
      </c>
      <c r="AL32" s="768"/>
      <c r="AM32" s="604">
        <f>IF(ISNUMBER(ACT!K26),ACT!K26*1000000/AM$7,"")</f>
        <v>0</v>
      </c>
      <c r="AN32" s="605">
        <f>IF(ISNUMBER(ACT!L26),ACT!L26*1000000/AN$7,"")</f>
        <v>0</v>
      </c>
      <c r="AO32" s="606">
        <f>IF(ISNUMBER(NSW!K26),NSW!K26*1000000/AO$7,"")</f>
        <v>22.813972501653843</v>
      </c>
      <c r="AP32" s="606">
        <f>IF(ISNUMBER(NSW!L26),NSW!L26*1000000/AP$7,"")</f>
        <v>26.235972238560173</v>
      </c>
      <c r="AQ32" s="604" t="str">
        <f>IF(ISNUMBER(NT!K26),NT!K26*1000000/AQ$7,"")</f>
        <v/>
      </c>
      <c r="AR32" s="605">
        <f>IF(ISNUMBER(NT!L26),NT!L26*1000000/AR$7,"")</f>
        <v>0</v>
      </c>
      <c r="AS32" s="606" t="str">
        <f>IF(ISNUMBER(Qld!K26),Qld!K26*1000000/AS$7,"")</f>
        <v/>
      </c>
      <c r="AT32" s="606">
        <f>IF(ISNUMBER(Qld!L26),Qld!L26*1000000/AT$7,"")</f>
        <v>144.3972889248563</v>
      </c>
      <c r="AU32" s="604" t="str">
        <f>IF(ISNUMBER(SA!K26),SA!K26*1000000/AU$7,"")</f>
        <v/>
      </c>
      <c r="AV32" s="605">
        <f>IF(ISNUMBER(SA!L26),SA!L26*1000000/AV$7,"")</f>
        <v>54545.267250105251</v>
      </c>
      <c r="AW32" s="606" t="str">
        <f>IF(ISNUMBER(TAS!K26),TAS!K26*1000000/AW$7,"")</f>
        <v/>
      </c>
      <c r="AX32" s="606">
        <f>IF(ISNUMBER(TAS!L26),TAS!L26*1000000/AX$7,"")</f>
        <v>216536.81340085703</v>
      </c>
      <c r="AY32" s="604">
        <f>IF(ISNUMBER(Vic!K26),Vic!K26*1000000/AY$7,"")</f>
        <v>1063.4709483894976</v>
      </c>
      <c r="AZ32" s="605">
        <f>IF(ISNUMBER(Vic!L26),Vic!L26*1000000/AZ$7,"")</f>
        <v>165.87704181937329</v>
      </c>
      <c r="BA32" s="606">
        <f>IF(ISNUMBER(WA!L26),WA!L26*1000000/BA$7,"")</f>
        <v>90.805481904480274</v>
      </c>
      <c r="BB32" s="606">
        <f>IF(ISNUMBER(WA!M26),WA!M26*1000000/BB$7,"")</f>
        <v>254.67610160692763</v>
      </c>
      <c r="BC32" s="617">
        <f t="shared" si="0"/>
        <v>22737.529788195636</v>
      </c>
      <c r="BE32" s="604">
        <v>0</v>
      </c>
      <c r="BF32" s="606">
        <v>1260.7539287341447</v>
      </c>
      <c r="BG32" s="606">
        <f>SUM([2]NT!M26:N26)</f>
        <v>0</v>
      </c>
      <c r="BH32" s="606">
        <v>101.10514527589132</v>
      </c>
      <c r="BI32" s="606">
        <v>21282.583650133001</v>
      </c>
      <c r="BJ32" s="606">
        <v>28694.621573597789</v>
      </c>
      <c r="BK32" s="606">
        <v>2231.790732864597</v>
      </c>
      <c r="BL32" s="605">
        <v>175.07297944615038</v>
      </c>
    </row>
    <row r="33" spans="2:64">
      <c r="B33" s="903"/>
      <c r="C33" s="873"/>
      <c r="D33" s="602" t="s">
        <v>25</v>
      </c>
      <c r="E33" s="620" t="s">
        <v>145</v>
      </c>
      <c r="F33" s="154">
        <f>IF(ISNUMBER(ACT!K27),ACT!K27,"")</f>
        <v>0</v>
      </c>
      <c r="G33" s="591" t="s">
        <v>812</v>
      </c>
      <c r="H33" s="155">
        <f>IF(ISNUMBER(ACT!L27),ACT!L27,"")</f>
        <v>0</v>
      </c>
      <c r="I33" s="592" t="s">
        <v>812</v>
      </c>
      <c r="J33" s="155">
        <f>IF(ISNUMBER(NSW!K27),NSW!K27,"")</f>
        <v>0</v>
      </c>
      <c r="K33" s="591" t="s">
        <v>812</v>
      </c>
      <c r="L33" s="155">
        <f>IF(ISNUMBER(NSW!L27),NSW!L27,"")</f>
        <v>32.42</v>
      </c>
      <c r="M33" s="592" t="s">
        <v>812</v>
      </c>
      <c r="N33" s="154" t="str">
        <f>IF(ISNUMBER(NT!K27),NT!K27,"")</f>
        <v/>
      </c>
      <c r="O33" s="591" t="s">
        <v>812</v>
      </c>
      <c r="P33" s="155">
        <f>IF(ISNUMBER(NT!L27),NT!L27,"")</f>
        <v>0</v>
      </c>
      <c r="Q33" s="592" t="s">
        <v>812</v>
      </c>
      <c r="R33" s="154" t="str">
        <f>IF(ISNUMBER(Qld!K27),Qld!K27,"")</f>
        <v/>
      </c>
      <c r="S33" s="591" t="s">
        <v>812</v>
      </c>
      <c r="T33" s="155">
        <f>IF(ISNUMBER(Qld!L27),Qld!L27,"")</f>
        <v>1</v>
      </c>
      <c r="U33" s="592" t="s">
        <v>812</v>
      </c>
      <c r="V33" s="154" t="str">
        <f>IF(ISNUMBER(SA!K27),SA!K27,"")</f>
        <v/>
      </c>
      <c r="W33" s="591" t="s">
        <v>812</v>
      </c>
      <c r="X33" s="155">
        <f>IF(ISNUMBER(SA!L27),SA!L27,"")</f>
        <v>6.52</v>
      </c>
      <c r="Y33" s="592" t="s">
        <v>812</v>
      </c>
      <c r="Z33" s="154" t="str">
        <f>IF(ISNUMBER(TAS!K27),TAS!K27,"")</f>
        <v/>
      </c>
      <c r="AA33" s="591" t="s">
        <v>812</v>
      </c>
      <c r="AB33" s="155" t="str">
        <f>IF(ISNUMBER(TAS!L27),TAS!L27,"")</f>
        <v/>
      </c>
      <c r="AC33" s="592" t="s">
        <v>812</v>
      </c>
      <c r="AD33" s="154">
        <f>IF(ISNUMBER(Vic!K27),Vic!K27,"")</f>
        <v>0</v>
      </c>
      <c r="AE33" s="595" t="s">
        <v>812</v>
      </c>
      <c r="AF33" s="155">
        <f>IF(ISNUMBER(Vic!L27),Vic!L27,"")</f>
        <v>0</v>
      </c>
      <c r="AG33" s="594" t="s">
        <v>812</v>
      </c>
      <c r="AH33" s="154">
        <f>IF(ISNUMBER(WA!L27),WA!L27,"")</f>
        <v>0</v>
      </c>
      <c r="AI33" s="591" t="s">
        <v>812</v>
      </c>
      <c r="AJ33" s="155">
        <f>IF(ISNUMBER(WA!M27),WA!M27,"")</f>
        <v>0</v>
      </c>
      <c r="AK33" s="592" t="s">
        <v>812</v>
      </c>
      <c r="AL33" s="768"/>
      <c r="AM33" s="604">
        <f>IF(ISNUMBER(ACT!K27),ACT!K27*1000000/AM$7,"")</f>
        <v>0</v>
      </c>
      <c r="AN33" s="605">
        <f>IF(ISNUMBER(ACT!L27),ACT!L27*1000000/AN$7,"")</f>
        <v>0</v>
      </c>
      <c r="AO33" s="606">
        <f>IF(ISNUMBER(NSW!K27),NSW!K27*1000000/AO$7,"")</f>
        <v>0</v>
      </c>
      <c r="AP33" s="606">
        <f>IF(ISNUMBER(NSW!L27),NSW!L27*1000000/AP$7,"")</f>
        <v>4.3584788344228409</v>
      </c>
      <c r="AQ33" s="604" t="str">
        <f>IF(ISNUMBER(NT!K27),NT!K27*1000000/AQ$7,"")</f>
        <v/>
      </c>
      <c r="AR33" s="605">
        <f>IF(ISNUMBER(NT!L27),NT!L27*1000000/AR$7,"")</f>
        <v>0</v>
      </c>
      <c r="AS33" s="606" t="str">
        <f>IF(ISNUMBER(Qld!K27),Qld!K27*1000000/AS$7,"")</f>
        <v/>
      </c>
      <c r="AT33" s="606">
        <f>IF(ISNUMBER(Qld!L27),Qld!L27*1000000/AT$7,"")</f>
        <v>0.21392190951830561</v>
      </c>
      <c r="AU33" s="604" t="str">
        <f>IF(ISNUMBER(SA!K27),SA!K27*1000000/AU$7,"")</f>
        <v/>
      </c>
      <c r="AV33" s="605">
        <f>IF(ISNUMBER(SA!L27),SA!L27*1000000/AV$7,"")</f>
        <v>3.8935717250254545</v>
      </c>
      <c r="AW33" s="606" t="str">
        <f>IF(ISNUMBER(TAS!K27),TAS!K27*1000000/AW$7,"")</f>
        <v/>
      </c>
      <c r="AX33" s="606" t="str">
        <f>IF(ISNUMBER(TAS!L27),TAS!L27*1000000/AX$7,"")</f>
        <v/>
      </c>
      <c r="AY33" s="604">
        <f>IF(ISNUMBER(Vic!K27),Vic!K27*1000000/AY$7,"")</f>
        <v>0</v>
      </c>
      <c r="AZ33" s="605">
        <f>IF(ISNUMBER(Vic!L27),Vic!L27*1000000/AZ$7,"")</f>
        <v>0</v>
      </c>
      <c r="BA33" s="606">
        <f>IF(ISNUMBER(WA!L27),WA!L27*1000000/BA$7,"")</f>
        <v>0</v>
      </c>
      <c r="BB33" s="606">
        <f>IF(ISNUMBER(WA!M27),WA!M27*1000000/BB$7,"")</f>
        <v>0</v>
      </c>
      <c r="BC33" s="617">
        <f t="shared" si="0"/>
        <v>0.76963386081514562</v>
      </c>
      <c r="BE33" s="604">
        <v>0</v>
      </c>
      <c r="BF33" s="606">
        <v>0</v>
      </c>
      <c r="BG33" s="606">
        <f>SUM([2]NT!M27:N27)</f>
        <v>0</v>
      </c>
      <c r="BH33" s="606">
        <v>0</v>
      </c>
      <c r="BI33" s="606"/>
      <c r="BJ33" s="606"/>
      <c r="BK33" s="606">
        <v>0</v>
      </c>
      <c r="BL33" s="605">
        <v>0</v>
      </c>
    </row>
    <row r="34" spans="2:64">
      <c r="B34" s="903"/>
      <c r="C34" s="873"/>
      <c r="D34" s="602" t="s">
        <v>146</v>
      </c>
      <c r="E34" s="620" t="s">
        <v>147</v>
      </c>
      <c r="F34" s="154">
        <f>IF(ISNUMBER(ACT!K28),ACT!K28,"")</f>
        <v>0</v>
      </c>
      <c r="G34" s="591" t="s">
        <v>812</v>
      </c>
      <c r="H34" s="155">
        <f>IF(ISNUMBER(ACT!L28),ACT!L28,"")</f>
        <v>0</v>
      </c>
      <c r="I34" s="592" t="s">
        <v>812</v>
      </c>
      <c r="J34" s="155">
        <f>IF(ISNUMBER(NSW!K28),NSW!K28,"")</f>
        <v>0</v>
      </c>
      <c r="K34" s="591" t="s">
        <v>812</v>
      </c>
      <c r="L34" s="155">
        <f>IF(ISNUMBER(NSW!L28),NSW!L28,"")</f>
        <v>0</v>
      </c>
      <c r="M34" s="592" t="s">
        <v>812</v>
      </c>
      <c r="N34" s="154" t="str">
        <f>IF(ISNUMBER(NT!K28),NT!K28,"")</f>
        <v/>
      </c>
      <c r="O34" s="591" t="s">
        <v>812</v>
      </c>
      <c r="P34" s="155">
        <f>IF(ISNUMBER(NT!L28),NT!L28,"")</f>
        <v>0</v>
      </c>
      <c r="Q34" s="592" t="s">
        <v>812</v>
      </c>
      <c r="R34" s="154" t="str">
        <f>IF(ISNUMBER(Qld!K28),Qld!K28,"")</f>
        <v/>
      </c>
      <c r="S34" s="591" t="s">
        <v>812</v>
      </c>
      <c r="T34" s="155">
        <f>IF(ISNUMBER(Qld!L28),Qld!L28,"")</f>
        <v>0</v>
      </c>
      <c r="U34" s="592" t="s">
        <v>812</v>
      </c>
      <c r="V34" s="154" t="str">
        <f>IF(ISNUMBER(SA!K28),SA!K28,"")</f>
        <v/>
      </c>
      <c r="W34" s="591" t="s">
        <v>812</v>
      </c>
      <c r="X34" s="155">
        <f>IF(ISNUMBER(SA!L28),SA!L28,"")</f>
        <v>0</v>
      </c>
      <c r="Y34" s="592" t="s">
        <v>812</v>
      </c>
      <c r="Z34" s="154" t="str">
        <f>IF(ISNUMBER(TAS!K28),TAS!K28,"")</f>
        <v/>
      </c>
      <c r="AA34" s="591" t="s">
        <v>812</v>
      </c>
      <c r="AB34" s="155" t="str">
        <f>IF(ISNUMBER(TAS!L28),TAS!L28,"")</f>
        <v/>
      </c>
      <c r="AC34" s="592" t="s">
        <v>812</v>
      </c>
      <c r="AD34" s="154" t="str">
        <f>IF(ISNUMBER(Vic!K28),Vic!K28,"")</f>
        <v/>
      </c>
      <c r="AE34" s="595" t="s">
        <v>812</v>
      </c>
      <c r="AF34" s="155" t="str">
        <f>IF(ISNUMBER(Vic!L28),Vic!L28,"")</f>
        <v/>
      </c>
      <c r="AG34" s="594" t="s">
        <v>812</v>
      </c>
      <c r="AH34" s="154">
        <f>IF(ISNUMBER(WA!L28),WA!L28,"")</f>
        <v>5.0000000000000001E-3</v>
      </c>
      <c r="AI34" s="591" t="s">
        <v>812</v>
      </c>
      <c r="AJ34" s="155">
        <f>IF(ISNUMBER(WA!M28),WA!M28,"")</f>
        <v>0</v>
      </c>
      <c r="AK34" s="592" t="s">
        <v>812</v>
      </c>
      <c r="AL34" s="768"/>
      <c r="AM34" s="604">
        <f>IF(ISNUMBER(ACT!K28),ACT!K28*1000000/AM$7,"")</f>
        <v>0</v>
      </c>
      <c r="AN34" s="605">
        <f>IF(ISNUMBER(ACT!L28),ACT!L28*1000000/AN$7,"")</f>
        <v>0</v>
      </c>
      <c r="AO34" s="606">
        <f>IF(ISNUMBER(NSW!K28),NSW!K28*1000000/AO$7,"")</f>
        <v>0</v>
      </c>
      <c r="AP34" s="606">
        <f>IF(ISNUMBER(NSW!L28),NSW!L28*1000000/AP$7,"")</f>
        <v>0</v>
      </c>
      <c r="AQ34" s="604" t="str">
        <f>IF(ISNUMBER(NT!K28),NT!K28*1000000/AQ$7,"")</f>
        <v/>
      </c>
      <c r="AR34" s="605">
        <f>IF(ISNUMBER(NT!L28),NT!L28*1000000/AR$7,"")</f>
        <v>0</v>
      </c>
      <c r="AS34" s="606" t="str">
        <f>IF(ISNUMBER(Qld!K28),Qld!K28*1000000/AS$7,"")</f>
        <v/>
      </c>
      <c r="AT34" s="606">
        <f>IF(ISNUMBER(Qld!L28),Qld!L28*1000000/AT$7,"")</f>
        <v>0</v>
      </c>
      <c r="AU34" s="604" t="str">
        <f>IF(ISNUMBER(SA!K28),SA!K28*1000000/AU$7,"")</f>
        <v/>
      </c>
      <c r="AV34" s="605">
        <f>IF(ISNUMBER(SA!L28),SA!L28*1000000/AV$7,"")</f>
        <v>0</v>
      </c>
      <c r="AW34" s="606" t="str">
        <f>IF(ISNUMBER(TAS!K28),TAS!K28*1000000/AW$7,"")</f>
        <v/>
      </c>
      <c r="AX34" s="606" t="str">
        <f>IF(ISNUMBER(TAS!L28),TAS!L28*1000000/AX$7,"")</f>
        <v/>
      </c>
      <c r="AY34" s="604" t="str">
        <f>IF(ISNUMBER(Vic!K28),Vic!K28*1000000/AY$7,"")</f>
        <v/>
      </c>
      <c r="AZ34" s="605" t="str">
        <f>IF(ISNUMBER(Vic!L28),Vic!L28*1000000/AZ$7,"")</f>
        <v/>
      </c>
      <c r="BA34" s="606">
        <f>IF(ISNUMBER(WA!L28),WA!L28*1000000/BA$7,"")</f>
        <v>1.9980698645108825E-3</v>
      </c>
      <c r="BB34" s="606">
        <f>IF(ISNUMBER(WA!M28),WA!M28*1000000/BB$7,"")</f>
        <v>0</v>
      </c>
      <c r="BC34" s="617">
        <f t="shared" si="0"/>
        <v>2.2200776272343137E-4</v>
      </c>
      <c r="BE34" s="604">
        <v>0</v>
      </c>
      <c r="BF34" s="606">
        <v>0</v>
      </c>
      <c r="BG34" s="606">
        <f>SUM([2]NT!M28:N28)</f>
        <v>0</v>
      </c>
      <c r="BH34" s="606">
        <v>0</v>
      </c>
      <c r="BI34" s="606"/>
      <c r="BJ34" s="606"/>
      <c r="BK34" s="606"/>
      <c r="BL34" s="605">
        <v>0</v>
      </c>
    </row>
    <row r="35" spans="2:64">
      <c r="B35" s="903"/>
      <c r="C35" s="873"/>
      <c r="D35" s="602" t="s">
        <v>148</v>
      </c>
      <c r="E35" s="620" t="s">
        <v>149</v>
      </c>
      <c r="F35" s="154">
        <f>IF(ISNUMBER(ACT!K29),ACT!K29,"")</f>
        <v>0</v>
      </c>
      <c r="G35" s="591" t="s">
        <v>812</v>
      </c>
      <c r="H35" s="155">
        <f>IF(ISNUMBER(ACT!L29),ACT!L29,"")</f>
        <v>0</v>
      </c>
      <c r="I35" s="592" t="s">
        <v>812</v>
      </c>
      <c r="J35" s="155">
        <f>IF(ISNUMBER(NSW!K29),NSW!K29,"")</f>
        <v>0</v>
      </c>
      <c r="K35" s="591" t="s">
        <v>812</v>
      </c>
      <c r="L35" s="155">
        <f>IF(ISNUMBER(NSW!L29),NSW!L29,"")</f>
        <v>0</v>
      </c>
      <c r="M35" s="592" t="s">
        <v>812</v>
      </c>
      <c r="N35" s="154" t="str">
        <f>IF(ISNUMBER(NT!K29),NT!K29,"")</f>
        <v/>
      </c>
      <c r="O35" s="591" t="s">
        <v>812</v>
      </c>
      <c r="P35" s="155">
        <f>IF(ISNUMBER(NT!L29),NT!L29,"")</f>
        <v>0</v>
      </c>
      <c r="Q35" s="592" t="s">
        <v>812</v>
      </c>
      <c r="R35" s="154" t="str">
        <f>IF(ISNUMBER(Qld!K29),Qld!K29,"")</f>
        <v/>
      </c>
      <c r="S35" s="591" t="s">
        <v>812</v>
      </c>
      <c r="T35" s="155">
        <f>IF(ISNUMBER(Qld!L29),Qld!L29,"")</f>
        <v>55</v>
      </c>
      <c r="U35" s="592" t="s">
        <v>812</v>
      </c>
      <c r="V35" s="154" t="str">
        <f>IF(ISNUMBER(SA!K29),SA!K29,"")</f>
        <v/>
      </c>
      <c r="W35" s="591" t="s">
        <v>812</v>
      </c>
      <c r="X35" s="155">
        <f>IF(ISNUMBER(SA!L29),SA!L29,"")</f>
        <v>0</v>
      </c>
      <c r="Y35" s="592" t="s">
        <v>812</v>
      </c>
      <c r="Z35" s="154" t="str">
        <f>IF(ISNUMBER(TAS!K29),TAS!K29,"")</f>
        <v/>
      </c>
      <c r="AA35" s="591" t="s">
        <v>812</v>
      </c>
      <c r="AB35" s="155" t="str">
        <f>IF(ISNUMBER(TAS!L29),TAS!L29,"")</f>
        <v/>
      </c>
      <c r="AC35" s="592" t="s">
        <v>812</v>
      </c>
      <c r="AD35" s="154" t="str">
        <f>IF(ISNUMBER(Vic!K29),Vic!K29,"")</f>
        <v/>
      </c>
      <c r="AE35" s="595" t="s">
        <v>812</v>
      </c>
      <c r="AF35" s="155" t="str">
        <f>IF(ISNUMBER(Vic!L29),Vic!L29,"")</f>
        <v/>
      </c>
      <c r="AG35" s="594" t="s">
        <v>812</v>
      </c>
      <c r="AH35" s="154">
        <f>IF(ISNUMBER(WA!L29),WA!L29,"")</f>
        <v>0</v>
      </c>
      <c r="AI35" s="591" t="s">
        <v>812</v>
      </c>
      <c r="AJ35" s="155">
        <f>IF(ISNUMBER(WA!M29),WA!M29,"")</f>
        <v>0</v>
      </c>
      <c r="AK35" s="592" t="s">
        <v>812</v>
      </c>
      <c r="AL35" s="768"/>
      <c r="AM35" s="604">
        <f>IF(ISNUMBER(ACT!K29),ACT!K29*1000000/AM$7,"")</f>
        <v>0</v>
      </c>
      <c r="AN35" s="605">
        <f>IF(ISNUMBER(ACT!L29),ACT!L29*1000000/AN$7,"")</f>
        <v>0</v>
      </c>
      <c r="AO35" s="606">
        <f>IF(ISNUMBER(NSW!K29),NSW!K29*1000000/AO$7,"")</f>
        <v>0</v>
      </c>
      <c r="AP35" s="606">
        <f>IF(ISNUMBER(NSW!L29),NSW!L29*1000000/AP$7,"")</f>
        <v>0</v>
      </c>
      <c r="AQ35" s="604" t="str">
        <f>IF(ISNUMBER(NT!K29),NT!K29*1000000/AQ$7,"")</f>
        <v/>
      </c>
      <c r="AR35" s="605">
        <f>IF(ISNUMBER(NT!L29),NT!L29*1000000/AR$7,"")</f>
        <v>0</v>
      </c>
      <c r="AS35" s="606" t="str">
        <f>IF(ISNUMBER(Qld!K29),Qld!K29*1000000/AS$7,"")</f>
        <v/>
      </c>
      <c r="AT35" s="606">
        <f>IF(ISNUMBER(Qld!L29),Qld!L29*1000000/AT$7,"")</f>
        <v>11.765705023506809</v>
      </c>
      <c r="AU35" s="604" t="str">
        <f>IF(ISNUMBER(SA!K29),SA!K29*1000000/AU$7,"")</f>
        <v/>
      </c>
      <c r="AV35" s="605">
        <f>IF(ISNUMBER(SA!L29),SA!L29*1000000/AV$7,"")</f>
        <v>0</v>
      </c>
      <c r="AW35" s="606" t="str">
        <f>IF(ISNUMBER(TAS!K29),TAS!K29*1000000/AW$7,"")</f>
        <v/>
      </c>
      <c r="AX35" s="606" t="str">
        <f>IF(ISNUMBER(TAS!L29),TAS!L29*1000000/AX$7,"")</f>
        <v/>
      </c>
      <c r="AY35" s="604" t="str">
        <f>IF(ISNUMBER(Vic!K29),Vic!K29*1000000/AY$7,"")</f>
        <v/>
      </c>
      <c r="AZ35" s="605" t="str">
        <f>IF(ISNUMBER(Vic!L29),Vic!L29*1000000/AZ$7,"")</f>
        <v/>
      </c>
      <c r="BA35" s="606">
        <f>IF(ISNUMBER(WA!L29),WA!L29*1000000/BA$7,"")</f>
        <v>0</v>
      </c>
      <c r="BB35" s="606">
        <f>IF(ISNUMBER(WA!M29),WA!M29*1000000/BB$7,"")</f>
        <v>0</v>
      </c>
      <c r="BC35" s="617">
        <f t="shared" si="0"/>
        <v>1.3073005581674233</v>
      </c>
      <c r="BE35" s="604">
        <v>0</v>
      </c>
      <c r="BF35" s="606">
        <v>124.78557016938313</v>
      </c>
      <c r="BG35" s="606">
        <f>SUM([2]NT!M29:N29)</f>
        <v>0</v>
      </c>
      <c r="BH35" s="606">
        <v>0</v>
      </c>
      <c r="BI35" s="606"/>
      <c r="BJ35" s="606"/>
      <c r="BK35" s="606"/>
      <c r="BL35" s="605">
        <v>0</v>
      </c>
    </row>
    <row r="36" spans="2:64">
      <c r="B36" s="903"/>
      <c r="C36" s="873"/>
      <c r="D36" s="602" t="s">
        <v>26</v>
      </c>
      <c r="E36" s="620" t="s">
        <v>150</v>
      </c>
      <c r="F36" s="154">
        <f>IF(ISNUMBER(ACT!K30),ACT!K30,"")</f>
        <v>0</v>
      </c>
      <c r="G36" s="591" t="s">
        <v>812</v>
      </c>
      <c r="H36" s="155">
        <f>IF(ISNUMBER(ACT!L30),ACT!L30,"")</f>
        <v>0</v>
      </c>
      <c r="I36" s="592" t="s">
        <v>812</v>
      </c>
      <c r="J36" s="155">
        <f>IF(ISNUMBER(NSW!K30),NSW!K30,"")</f>
        <v>0</v>
      </c>
      <c r="K36" s="591" t="s">
        <v>812</v>
      </c>
      <c r="L36" s="155">
        <f>IF(ISNUMBER(NSW!L30),NSW!L30,"")</f>
        <v>0</v>
      </c>
      <c r="M36" s="592" t="s">
        <v>812</v>
      </c>
      <c r="N36" s="154" t="str">
        <f>IF(ISNUMBER(NT!K30),NT!K30,"")</f>
        <v/>
      </c>
      <c r="O36" s="591" t="s">
        <v>812</v>
      </c>
      <c r="P36" s="155">
        <f>IF(ISNUMBER(NT!L30),NT!L30,"")</f>
        <v>0</v>
      </c>
      <c r="Q36" s="592" t="s">
        <v>812</v>
      </c>
      <c r="R36" s="154" t="str">
        <f>IF(ISNUMBER(Qld!K30),Qld!K30,"")</f>
        <v/>
      </c>
      <c r="S36" s="591" t="s">
        <v>812</v>
      </c>
      <c r="T36" s="155">
        <f>IF(ISNUMBER(Qld!L30),Qld!L30,"")</f>
        <v>0</v>
      </c>
      <c r="U36" s="592" t="s">
        <v>812</v>
      </c>
      <c r="V36" s="154" t="str">
        <f>IF(ISNUMBER(SA!K30),SA!K30,"")</f>
        <v/>
      </c>
      <c r="W36" s="591" t="s">
        <v>812</v>
      </c>
      <c r="X36" s="155">
        <f>IF(ISNUMBER(SA!L30),SA!L30,"")</f>
        <v>0</v>
      </c>
      <c r="Y36" s="592" t="s">
        <v>812</v>
      </c>
      <c r="Z36" s="154" t="str">
        <f>IF(ISNUMBER(TAS!K30),TAS!K30,"")</f>
        <v/>
      </c>
      <c r="AA36" s="591" t="s">
        <v>812</v>
      </c>
      <c r="AB36" s="155" t="str">
        <f>IF(ISNUMBER(TAS!L30),TAS!L30,"")</f>
        <v/>
      </c>
      <c r="AC36" s="592" t="s">
        <v>812</v>
      </c>
      <c r="AD36" s="154">
        <f>IF(ISNUMBER(Vic!K30),Vic!K30,"")</f>
        <v>0.56999999999999995</v>
      </c>
      <c r="AE36" s="595" t="s">
        <v>812</v>
      </c>
      <c r="AF36" s="155">
        <f>IF(ISNUMBER(Vic!L30),Vic!L30,"")</f>
        <v>0</v>
      </c>
      <c r="AG36" s="594" t="s">
        <v>812</v>
      </c>
      <c r="AH36" s="154">
        <f>IF(ISNUMBER(WA!L30),WA!L30,"")</f>
        <v>0.42500000000000004</v>
      </c>
      <c r="AI36" s="591" t="s">
        <v>812</v>
      </c>
      <c r="AJ36" s="155">
        <f>IF(ISNUMBER(WA!M30),WA!M30,"")</f>
        <v>2E-3</v>
      </c>
      <c r="AK36" s="592" t="s">
        <v>812</v>
      </c>
      <c r="AL36" s="768"/>
      <c r="AM36" s="604">
        <f>IF(ISNUMBER(ACT!K30),ACT!K30*1000000/AM$7,"")</f>
        <v>0</v>
      </c>
      <c r="AN36" s="605">
        <f>IF(ISNUMBER(ACT!L30),ACT!L30*1000000/AN$7,"")</f>
        <v>0</v>
      </c>
      <c r="AO36" s="606">
        <f>IF(ISNUMBER(NSW!K30),NSW!K30*1000000/AO$7,"")</f>
        <v>0</v>
      </c>
      <c r="AP36" s="606">
        <f>IF(ISNUMBER(NSW!L30),NSW!L30*1000000/AP$7,"")</f>
        <v>0</v>
      </c>
      <c r="AQ36" s="604" t="str">
        <f>IF(ISNUMBER(NT!K30),NT!K30*1000000/AQ$7,"")</f>
        <v/>
      </c>
      <c r="AR36" s="605">
        <f>IF(ISNUMBER(NT!L30),NT!L30*1000000/AR$7,"")</f>
        <v>0</v>
      </c>
      <c r="AS36" s="606" t="str">
        <f>IF(ISNUMBER(Qld!K30),Qld!K30*1000000/AS$7,"")</f>
        <v/>
      </c>
      <c r="AT36" s="606">
        <f>IF(ISNUMBER(Qld!L30),Qld!L30*1000000/AT$7,"")</f>
        <v>0</v>
      </c>
      <c r="AU36" s="604" t="str">
        <f>IF(ISNUMBER(SA!K30),SA!K30*1000000/AU$7,"")</f>
        <v/>
      </c>
      <c r="AV36" s="605">
        <f>IF(ISNUMBER(SA!L30),SA!L30*1000000/AV$7,"")</f>
        <v>0</v>
      </c>
      <c r="AW36" s="606" t="str">
        <f>IF(ISNUMBER(TAS!K30),TAS!K30*1000000/AW$7,"")</f>
        <v/>
      </c>
      <c r="AX36" s="606" t="str">
        <f>IF(ISNUMBER(TAS!L30),TAS!L30*1000000/AX$7,"")</f>
        <v/>
      </c>
      <c r="AY36" s="604">
        <f>IF(ISNUMBER(Vic!K30),Vic!K30*1000000/AY$7,"")</f>
        <v>9.9742611566048245E-2</v>
      </c>
      <c r="AZ36" s="605">
        <f>IF(ISNUMBER(Vic!L30),Vic!L30*1000000/AZ$7,"")</f>
        <v>0</v>
      </c>
      <c r="BA36" s="606">
        <f>IF(ISNUMBER(WA!L30),WA!L30*1000000/BA$7,"")</f>
        <v>0.16983593848342504</v>
      </c>
      <c r="BB36" s="606">
        <f>IF(ISNUMBER(WA!M30),WA!M30*1000000/BB$7,"")</f>
        <v>7.8834728116760537E-4</v>
      </c>
      <c r="BC36" s="617">
        <f t="shared" si="0"/>
        <v>2.4578808848240083E-2</v>
      </c>
      <c r="BE36" s="604">
        <v>0</v>
      </c>
      <c r="BF36" s="606">
        <v>0</v>
      </c>
      <c r="BG36" s="606">
        <f>SUM([2]NT!M30:N30)</f>
        <v>0</v>
      </c>
      <c r="BH36" s="606">
        <v>0</v>
      </c>
      <c r="BI36" s="606"/>
      <c r="BJ36" s="606"/>
      <c r="BK36" s="606">
        <v>1.0620448421558157</v>
      </c>
      <c r="BL36" s="605">
        <v>0</v>
      </c>
    </row>
    <row r="37" spans="2:64">
      <c r="B37" s="903"/>
      <c r="C37" s="873"/>
      <c r="D37" s="602" t="s">
        <v>27</v>
      </c>
      <c r="E37" s="620" t="s">
        <v>95</v>
      </c>
      <c r="F37" s="154">
        <f>IF(ISNUMBER(ACT!K31),ACT!K31,"")</f>
        <v>0</v>
      </c>
      <c r="G37" s="591" t="s">
        <v>812</v>
      </c>
      <c r="H37" s="155">
        <f>IF(ISNUMBER(ACT!L31),ACT!L31,"")</f>
        <v>0.4</v>
      </c>
      <c r="I37" s="592" t="s">
        <v>812</v>
      </c>
      <c r="J37" s="155">
        <f>IF(ISNUMBER(NSW!K31),NSW!K31,"")</f>
        <v>8233.4067799999993</v>
      </c>
      <c r="K37" s="591" t="s">
        <v>812</v>
      </c>
      <c r="L37" s="155">
        <f>IF(ISNUMBER(NSW!L31),NSW!L31,"")</f>
        <v>11959.483500000013</v>
      </c>
      <c r="M37" s="592" t="s">
        <v>812</v>
      </c>
      <c r="N37" s="154" t="str">
        <f>IF(ISNUMBER(NT!K31),NT!K31,"")</f>
        <v/>
      </c>
      <c r="O37" s="591" t="s">
        <v>812</v>
      </c>
      <c r="P37" s="155">
        <f>IF(ISNUMBER(NT!L31),NT!L31,"")</f>
        <v>0</v>
      </c>
      <c r="Q37" s="592" t="s">
        <v>812</v>
      </c>
      <c r="R37" s="154" t="str">
        <f>IF(ISNUMBER(Qld!K31),Qld!K31,"")</f>
        <v/>
      </c>
      <c r="S37" s="591" t="s">
        <v>812</v>
      </c>
      <c r="T37" s="155">
        <f>IF(ISNUMBER(Qld!L31),Qld!L31,"")</f>
        <v>54650</v>
      </c>
      <c r="U37" s="592" t="s">
        <v>812</v>
      </c>
      <c r="V37" s="154" t="str">
        <f>IF(ISNUMBER(SA!K31),SA!K31,"")</f>
        <v/>
      </c>
      <c r="W37" s="591" t="s">
        <v>812</v>
      </c>
      <c r="X37" s="155">
        <f>IF(ISNUMBER(SA!L31),SA!L31,"")</f>
        <v>490.38</v>
      </c>
      <c r="Y37" s="592" t="s">
        <v>812</v>
      </c>
      <c r="Z37" s="154" t="str">
        <f>IF(ISNUMBER(TAS!K31),TAS!K31,"")</f>
        <v/>
      </c>
      <c r="AA37" s="591" t="s">
        <v>812</v>
      </c>
      <c r="AB37" s="155">
        <f>IF(ISNUMBER(TAS!L31),TAS!L31,"")</f>
        <v>3780.1550000000002</v>
      </c>
      <c r="AC37" s="592" t="s">
        <v>812</v>
      </c>
      <c r="AD37" s="154">
        <f>IF(ISNUMBER(Vic!K31),Vic!K31,"")</f>
        <v>517.66999999999996</v>
      </c>
      <c r="AE37" s="595" t="s">
        <v>812</v>
      </c>
      <c r="AF37" s="155">
        <f>IF(ISNUMBER(Vic!L31),Vic!L31,"")</f>
        <v>497.02999999999992</v>
      </c>
      <c r="AG37" s="594" t="s">
        <v>812</v>
      </c>
      <c r="AH37" s="154">
        <f>IF(ISNUMBER(WA!L31),WA!L31,"")</f>
        <v>5775.86</v>
      </c>
      <c r="AI37" s="591" t="s">
        <v>812</v>
      </c>
      <c r="AJ37" s="155">
        <f>IF(ISNUMBER(WA!M31),WA!M31,"")</f>
        <v>5273.4513000000006</v>
      </c>
      <c r="AK37" s="592" t="s">
        <v>812</v>
      </c>
      <c r="AL37" s="768"/>
      <c r="AM37" s="604">
        <f>IF(ISNUMBER(ACT!K31),ACT!K31*1000000/AM$7,"")</f>
        <v>0</v>
      </c>
      <c r="AN37" s="605">
        <f>IF(ISNUMBER(ACT!L31),ACT!L31*1000000/AN$7,"")</f>
        <v>1.0448119860831044</v>
      </c>
      <c r="AO37" s="606">
        <f>IF(ISNUMBER(NSW!K31),NSW!K31*1000000/AO$7,"")</f>
        <v>1115.2080119802069</v>
      </c>
      <c r="AP37" s="606">
        <f>IF(ISNUMBER(NSW!L31),NSW!L31*1000000/AP$7,"")</f>
        <v>1607.8086275564237</v>
      </c>
      <c r="AQ37" s="604" t="str">
        <f>IF(ISNUMBER(NT!K31),NT!K31*1000000/AQ$7,"")</f>
        <v/>
      </c>
      <c r="AR37" s="605">
        <f>IF(ISNUMBER(NT!L31),NT!L31*1000000/AR$7,"")</f>
        <v>0</v>
      </c>
      <c r="AS37" s="606" t="str">
        <f>IF(ISNUMBER(Qld!K31),Qld!K31*1000000/AS$7,"")</f>
        <v/>
      </c>
      <c r="AT37" s="606">
        <f>IF(ISNUMBER(Qld!L31),Qld!L31*1000000/AT$7,"")</f>
        <v>11690.832355175402</v>
      </c>
      <c r="AU37" s="604" t="str">
        <f>IF(ISNUMBER(SA!K31),SA!K31*1000000/AU$7,"")</f>
        <v/>
      </c>
      <c r="AV37" s="605">
        <f>IF(ISNUMBER(SA!L31),SA!L31*1000000/AV$7,"")</f>
        <v>292.84197891380097</v>
      </c>
      <c r="AW37" s="606" t="str">
        <f>IF(ISNUMBER(TAS!K31),TAS!K31*1000000/AW$7,"")</f>
        <v/>
      </c>
      <c r="AX37" s="606">
        <f>IF(ISNUMBER(TAS!L31),TAS!L31*1000000/AX$7,"")</f>
        <v>7362.9820802493186</v>
      </c>
      <c r="AY37" s="604">
        <f>IF(ISNUMBER(Vic!K31),Vic!K31*1000000/AY$7,"")</f>
        <v>90.585539876133666</v>
      </c>
      <c r="AZ37" s="605">
        <f>IF(ISNUMBER(Vic!L31),Vic!L31*1000000/AZ$7,"")</f>
        <v>86.168158193109036</v>
      </c>
      <c r="BA37" s="606">
        <f>IF(ISNUMBER(WA!L31),WA!L31*1000000/BA$7,"")</f>
        <v>2308.1143615267652</v>
      </c>
      <c r="BB37" s="606">
        <f>IF(ISNUMBER(WA!M31),WA!M31*1000000/BB$7,"")</f>
        <v>2078.6554973623875</v>
      </c>
      <c r="BC37" s="617">
        <f t="shared" si="0"/>
        <v>2219.5201185683022</v>
      </c>
      <c r="BE37" s="604">
        <v>0</v>
      </c>
      <c r="BF37" s="606">
        <v>40691.86428698813</v>
      </c>
      <c r="BG37" s="606">
        <f>SUM([2]NT!M31:N31)</f>
        <v>0</v>
      </c>
      <c r="BH37" s="606">
        <v>8929.6414455356462</v>
      </c>
      <c r="BI37" s="606">
        <v>2695.9436953289955</v>
      </c>
      <c r="BJ37" s="606">
        <v>991.3391325515214</v>
      </c>
      <c r="BK37" s="606">
        <v>634.25438876998237</v>
      </c>
      <c r="BL37" s="605">
        <v>2764.767614446198</v>
      </c>
    </row>
    <row r="38" spans="2:64">
      <c r="B38" s="903"/>
      <c r="C38" s="873"/>
      <c r="D38" s="602" t="s">
        <v>28</v>
      </c>
      <c r="E38" s="620" t="s">
        <v>96</v>
      </c>
      <c r="F38" s="154">
        <f>IF(ISNUMBER(ACT!K32),ACT!K32,"")</f>
        <v>0</v>
      </c>
      <c r="G38" s="591" t="s">
        <v>812</v>
      </c>
      <c r="H38" s="155">
        <f>IF(ISNUMBER(ACT!L32),ACT!L32,"")</f>
        <v>0</v>
      </c>
      <c r="I38" s="592" t="s">
        <v>812</v>
      </c>
      <c r="J38" s="155">
        <f>IF(ISNUMBER(NSW!K32),NSW!K32,"")</f>
        <v>0</v>
      </c>
      <c r="K38" s="591" t="s">
        <v>812</v>
      </c>
      <c r="L38" s="155">
        <f>IF(ISNUMBER(NSW!L32),NSW!L32,"")</f>
        <v>0</v>
      </c>
      <c r="M38" s="592" t="s">
        <v>812</v>
      </c>
      <c r="N38" s="154" t="str">
        <f>IF(ISNUMBER(NT!K32),NT!K32,"")</f>
        <v/>
      </c>
      <c r="O38" s="591" t="s">
        <v>812</v>
      </c>
      <c r="P38" s="155">
        <f>IF(ISNUMBER(NT!L32),NT!L32,"")</f>
        <v>0</v>
      </c>
      <c r="Q38" s="592" t="s">
        <v>812</v>
      </c>
      <c r="R38" s="154" t="str">
        <f>IF(ISNUMBER(Qld!K32),Qld!K32,"")</f>
        <v/>
      </c>
      <c r="S38" s="591" t="s">
        <v>812</v>
      </c>
      <c r="T38" s="155">
        <f>IF(ISNUMBER(Qld!L32),Qld!L32,"")</f>
        <v>1</v>
      </c>
      <c r="U38" s="592" t="s">
        <v>812</v>
      </c>
      <c r="V38" s="154" t="str">
        <f>IF(ISNUMBER(SA!K32),SA!K32,"")</f>
        <v/>
      </c>
      <c r="W38" s="591" t="s">
        <v>812</v>
      </c>
      <c r="X38" s="155">
        <f>IF(ISNUMBER(SA!L32),SA!L32,"")</f>
        <v>2.6</v>
      </c>
      <c r="Y38" s="592" t="s">
        <v>812</v>
      </c>
      <c r="Z38" s="154" t="str">
        <f>IF(ISNUMBER(TAS!K32),TAS!K32,"")</f>
        <v/>
      </c>
      <c r="AA38" s="591" t="s">
        <v>812</v>
      </c>
      <c r="AB38" s="155" t="str">
        <f>IF(ISNUMBER(TAS!L32),TAS!L32,"")</f>
        <v/>
      </c>
      <c r="AC38" s="592" t="s">
        <v>812</v>
      </c>
      <c r="AD38" s="154">
        <f>IF(ISNUMBER(Vic!K32),Vic!K32,"")</f>
        <v>0.6</v>
      </c>
      <c r="AE38" s="595" t="s">
        <v>812</v>
      </c>
      <c r="AF38" s="155">
        <f>IF(ISNUMBER(Vic!L32),Vic!L32,"")</f>
        <v>2</v>
      </c>
      <c r="AG38" s="594" t="s">
        <v>812</v>
      </c>
      <c r="AH38" s="154">
        <f>IF(ISNUMBER(WA!L32),WA!L32,"")</f>
        <v>0</v>
      </c>
      <c r="AI38" s="591" t="s">
        <v>812</v>
      </c>
      <c r="AJ38" s="155">
        <f>IF(ISNUMBER(WA!M32),WA!M32,"")</f>
        <v>0.121</v>
      </c>
      <c r="AK38" s="592" t="s">
        <v>812</v>
      </c>
      <c r="AL38" s="768"/>
      <c r="AM38" s="604">
        <f>IF(ISNUMBER(ACT!K32),ACT!K32*1000000/AM$7,"")</f>
        <v>0</v>
      </c>
      <c r="AN38" s="605">
        <f>IF(ISNUMBER(ACT!L32),ACT!L32*1000000/AN$7,"")</f>
        <v>0</v>
      </c>
      <c r="AO38" s="606">
        <f>IF(ISNUMBER(NSW!K32),NSW!K32*1000000/AO$7,"")</f>
        <v>0</v>
      </c>
      <c r="AP38" s="606">
        <f>IF(ISNUMBER(NSW!L32),NSW!L32*1000000/AP$7,"")</f>
        <v>0</v>
      </c>
      <c r="AQ38" s="604" t="str">
        <f>IF(ISNUMBER(NT!K32),NT!K32*1000000/AQ$7,"")</f>
        <v/>
      </c>
      <c r="AR38" s="605">
        <f>IF(ISNUMBER(NT!L32),NT!L32*1000000/AR$7,"")</f>
        <v>0</v>
      </c>
      <c r="AS38" s="606" t="str">
        <f>IF(ISNUMBER(Qld!K32),Qld!K32*1000000/AS$7,"")</f>
        <v/>
      </c>
      <c r="AT38" s="606">
        <f>IF(ISNUMBER(Qld!L32),Qld!L32*1000000/AT$7,"")</f>
        <v>0.21392190951830561</v>
      </c>
      <c r="AU38" s="604" t="str">
        <f>IF(ISNUMBER(SA!K32),SA!K32*1000000/AU$7,"")</f>
        <v/>
      </c>
      <c r="AV38" s="605">
        <f>IF(ISNUMBER(SA!L32),SA!L32*1000000/AV$7,"")</f>
        <v>1.5526513013905188</v>
      </c>
      <c r="AW38" s="606" t="str">
        <f>IF(ISNUMBER(TAS!K32),TAS!K32*1000000/AW$7,"")</f>
        <v/>
      </c>
      <c r="AX38" s="606" t="str">
        <f>IF(ISNUMBER(TAS!L32),TAS!L32*1000000/AX$7,"")</f>
        <v/>
      </c>
      <c r="AY38" s="604">
        <f>IF(ISNUMBER(Vic!K32),Vic!K32*1000000/AY$7,"")</f>
        <v>0.10499222270110342</v>
      </c>
      <c r="AZ38" s="605">
        <f>IF(ISNUMBER(Vic!L32),Vic!L32*1000000/AZ$7,"")</f>
        <v>0.34673222217213867</v>
      </c>
      <c r="BA38" s="606">
        <f>IF(ISNUMBER(WA!L32),WA!L32*1000000/BA$7,"")</f>
        <v>0</v>
      </c>
      <c r="BB38" s="606">
        <f>IF(ISNUMBER(WA!M32),WA!M32*1000000/BB$7,"")</f>
        <v>4.7695010510640123E-2</v>
      </c>
      <c r="BC38" s="617">
        <f t="shared" si="0"/>
        <v>0.20599933329933695</v>
      </c>
      <c r="BE38" s="604">
        <v>0</v>
      </c>
      <c r="BF38" s="606">
        <v>210.28055979306228</v>
      </c>
      <c r="BG38" s="606">
        <f>SUM([2]NT!M32:N32)</f>
        <v>0</v>
      </c>
      <c r="BH38" s="606">
        <v>0.437684611583945</v>
      </c>
      <c r="BI38" s="606"/>
      <c r="BJ38" s="606"/>
      <c r="BK38" s="606">
        <v>0.88670176072281071</v>
      </c>
      <c r="BL38" s="605">
        <v>1.7090692164894254</v>
      </c>
    </row>
    <row r="39" spans="2:64">
      <c r="B39" s="903"/>
      <c r="C39" s="873"/>
      <c r="D39" s="602" t="s">
        <v>29</v>
      </c>
      <c r="E39" s="620" t="s">
        <v>97</v>
      </c>
      <c r="F39" s="154">
        <f>IF(ISNUMBER(ACT!K33),ACT!K33,"")</f>
        <v>0</v>
      </c>
      <c r="G39" s="591" t="s">
        <v>812</v>
      </c>
      <c r="H39" s="155">
        <f>IF(ISNUMBER(ACT!L33),ACT!L33,"")</f>
        <v>0</v>
      </c>
      <c r="I39" s="592" t="s">
        <v>812</v>
      </c>
      <c r="J39" s="155">
        <f>IF(ISNUMBER(NSW!K33),NSW!K33,"")</f>
        <v>0.47499999999999998</v>
      </c>
      <c r="K39" s="591" t="s">
        <v>812</v>
      </c>
      <c r="L39" s="155">
        <f>IF(ISNUMBER(NSW!L33),NSW!L33,"")</f>
        <v>0</v>
      </c>
      <c r="M39" s="592" t="s">
        <v>812</v>
      </c>
      <c r="N39" s="154" t="str">
        <f>IF(ISNUMBER(NT!K33),NT!K33,"")</f>
        <v/>
      </c>
      <c r="O39" s="591" t="s">
        <v>812</v>
      </c>
      <c r="P39" s="155">
        <f>IF(ISNUMBER(NT!L33),NT!L33,"")</f>
        <v>0</v>
      </c>
      <c r="Q39" s="592" t="s">
        <v>812</v>
      </c>
      <c r="R39" s="154" t="str">
        <f>IF(ISNUMBER(Qld!K33),Qld!K33,"")</f>
        <v/>
      </c>
      <c r="S39" s="591" t="s">
        <v>812</v>
      </c>
      <c r="T39" s="155">
        <f>IF(ISNUMBER(Qld!L33),Qld!L33,"")</f>
        <v>795</v>
      </c>
      <c r="U39" s="592" t="s">
        <v>812</v>
      </c>
      <c r="V39" s="154" t="str">
        <f>IF(ISNUMBER(SA!K33),SA!K33,"")</f>
        <v/>
      </c>
      <c r="W39" s="591" t="s">
        <v>812</v>
      </c>
      <c r="X39" s="155">
        <f>IF(ISNUMBER(SA!L33),SA!L33,"")</f>
        <v>0.04</v>
      </c>
      <c r="Y39" s="592" t="s">
        <v>812</v>
      </c>
      <c r="Z39" s="154" t="str">
        <f>IF(ISNUMBER(TAS!K33),TAS!K33,"")</f>
        <v/>
      </c>
      <c r="AA39" s="591" t="s">
        <v>812</v>
      </c>
      <c r="AB39" s="155" t="str">
        <f>IF(ISNUMBER(TAS!L33),TAS!L33,"")</f>
        <v/>
      </c>
      <c r="AC39" s="592" t="s">
        <v>812</v>
      </c>
      <c r="AD39" s="154">
        <f>IF(ISNUMBER(Vic!K33),Vic!K33,"")</f>
        <v>70.356000000000009</v>
      </c>
      <c r="AE39" s="595" t="s">
        <v>812</v>
      </c>
      <c r="AF39" s="155">
        <f>IF(ISNUMBER(Vic!L33),Vic!L33,"")</f>
        <v>0</v>
      </c>
      <c r="AG39" s="594" t="s">
        <v>812</v>
      </c>
      <c r="AH39" s="154">
        <f>IF(ISNUMBER(WA!L33),WA!L33,"")</f>
        <v>18.059999999999999</v>
      </c>
      <c r="AI39" s="591" t="s">
        <v>812</v>
      </c>
      <c r="AJ39" s="155">
        <f>IF(ISNUMBER(WA!M33),WA!M33,"")</f>
        <v>1.65</v>
      </c>
      <c r="AK39" s="592" t="s">
        <v>812</v>
      </c>
      <c r="AL39" s="768"/>
      <c r="AM39" s="604">
        <f>IF(ISNUMBER(ACT!K33),ACT!K33*1000000/AM$7,"")</f>
        <v>0</v>
      </c>
      <c r="AN39" s="605">
        <f>IF(ISNUMBER(ACT!L33),ACT!L33*1000000/AN$7,"")</f>
        <v>0</v>
      </c>
      <c r="AO39" s="606">
        <f>IF(ISNUMBER(NSW!K33),NSW!K33*1000000/AO$7,"")</f>
        <v>6.433834982833174E-2</v>
      </c>
      <c r="AP39" s="606">
        <f>IF(ISNUMBER(NSW!L33),NSW!L33*1000000/AP$7,"")</f>
        <v>0</v>
      </c>
      <c r="AQ39" s="604" t="str">
        <f>IF(ISNUMBER(NT!K33),NT!K33*1000000/AQ$7,"")</f>
        <v/>
      </c>
      <c r="AR39" s="605">
        <f>IF(ISNUMBER(NT!L33),NT!L33*1000000/AR$7,"")</f>
        <v>0</v>
      </c>
      <c r="AS39" s="606" t="str">
        <f>IF(ISNUMBER(Qld!K33),Qld!K33*1000000/AS$7,"")</f>
        <v/>
      </c>
      <c r="AT39" s="606">
        <f>IF(ISNUMBER(Qld!L33),Qld!L33*1000000/AT$7,"")</f>
        <v>170.06791806705297</v>
      </c>
      <c r="AU39" s="604" t="str">
        <f>IF(ISNUMBER(SA!K33),SA!K33*1000000/AU$7,"")</f>
        <v/>
      </c>
      <c r="AV39" s="605">
        <f>IF(ISNUMBER(SA!L33),SA!L33*1000000/AV$7,"")</f>
        <v>2.3886943098315672E-2</v>
      </c>
      <c r="AW39" s="606" t="str">
        <f>IF(ISNUMBER(TAS!K33),TAS!K33*1000000/AW$7,"")</f>
        <v/>
      </c>
      <c r="AX39" s="606" t="str">
        <f>IF(ISNUMBER(TAS!L33),TAS!L33*1000000/AX$7,"")</f>
        <v/>
      </c>
      <c r="AY39" s="604">
        <f>IF(ISNUMBER(Vic!K33),Vic!K33*1000000/AY$7,"")</f>
        <v>12.311388033931388</v>
      </c>
      <c r="AZ39" s="605">
        <f>IF(ISNUMBER(Vic!L33),Vic!L33*1000000/AZ$7,"")</f>
        <v>0</v>
      </c>
      <c r="BA39" s="606">
        <f>IF(ISNUMBER(WA!L33),WA!L33*1000000/BA$7,"")</f>
        <v>7.2170283506133073</v>
      </c>
      <c r="BB39" s="606">
        <f>IF(ISNUMBER(WA!M33),WA!M33*1000000/BB$7,"")</f>
        <v>0.65038650696327449</v>
      </c>
      <c r="BC39" s="617">
        <f t="shared" si="0"/>
        <v>17.303176931953416</v>
      </c>
      <c r="BE39" s="604">
        <v>0</v>
      </c>
      <c r="BF39" s="606">
        <v>0</v>
      </c>
      <c r="BG39" s="606">
        <f>SUM([2]NT!M33:N33)</f>
        <v>0</v>
      </c>
      <c r="BH39" s="606">
        <v>74.844068580854611</v>
      </c>
      <c r="BI39" s="606"/>
      <c r="BJ39" s="606"/>
      <c r="BK39" s="606">
        <v>0.17819632530665805</v>
      </c>
      <c r="BL39" s="605">
        <v>7.2031080479871061</v>
      </c>
    </row>
    <row r="40" spans="2:64">
      <c r="B40" s="903"/>
      <c r="C40" s="873"/>
      <c r="D40" s="602" t="s">
        <v>99</v>
      </c>
      <c r="E40" s="620" t="s">
        <v>98</v>
      </c>
      <c r="F40" s="154">
        <f>IF(ISNUMBER(ACT!K34),ACT!K34,"")</f>
        <v>0</v>
      </c>
      <c r="G40" s="591" t="s">
        <v>812</v>
      </c>
      <c r="H40" s="155">
        <f>IF(ISNUMBER(ACT!L34),ACT!L34,"")</f>
        <v>0</v>
      </c>
      <c r="I40" s="592" t="s">
        <v>812</v>
      </c>
      <c r="J40" s="155">
        <f>IF(ISNUMBER(NSW!K34),NSW!K34,"")</f>
        <v>0</v>
      </c>
      <c r="K40" s="591" t="s">
        <v>812</v>
      </c>
      <c r="L40" s="155">
        <f>IF(ISNUMBER(NSW!L34),NSW!L34,"")</f>
        <v>0</v>
      </c>
      <c r="M40" s="592" t="s">
        <v>812</v>
      </c>
      <c r="N40" s="154" t="str">
        <f>IF(ISNUMBER(NT!K34),NT!K34,"")</f>
        <v/>
      </c>
      <c r="O40" s="591" t="s">
        <v>812</v>
      </c>
      <c r="P40" s="155">
        <f>IF(ISNUMBER(NT!L34),NT!L34,"")</f>
        <v>0</v>
      </c>
      <c r="Q40" s="592" t="s">
        <v>812</v>
      </c>
      <c r="R40" s="154" t="str">
        <f>IF(ISNUMBER(Qld!K34),Qld!K34,"")</f>
        <v/>
      </c>
      <c r="S40" s="591" t="s">
        <v>812</v>
      </c>
      <c r="T40" s="155">
        <f>IF(ISNUMBER(Qld!L34),Qld!L34,"")</f>
        <v>0</v>
      </c>
      <c r="U40" s="592" t="s">
        <v>812</v>
      </c>
      <c r="V40" s="154" t="str">
        <f>IF(ISNUMBER(SA!K34),SA!K34,"")</f>
        <v/>
      </c>
      <c r="W40" s="591" t="s">
        <v>812</v>
      </c>
      <c r="X40" s="155">
        <f>IF(ISNUMBER(SA!L34),SA!L34,"")</f>
        <v>0.94</v>
      </c>
      <c r="Y40" s="592" t="s">
        <v>812</v>
      </c>
      <c r="Z40" s="154" t="str">
        <f>IF(ISNUMBER(TAS!K34),TAS!K34,"")</f>
        <v/>
      </c>
      <c r="AA40" s="591" t="s">
        <v>812</v>
      </c>
      <c r="AB40" s="155" t="str">
        <f>IF(ISNUMBER(TAS!L34),TAS!L34,"")</f>
        <v/>
      </c>
      <c r="AC40" s="592" t="s">
        <v>812</v>
      </c>
      <c r="AD40" s="154">
        <f>IF(ISNUMBER(Vic!K34),Vic!K34,"")</f>
        <v>0.36599999999999999</v>
      </c>
      <c r="AE40" s="595" t="s">
        <v>812</v>
      </c>
      <c r="AF40" s="155">
        <f>IF(ISNUMBER(Vic!L34),Vic!L34,"")</f>
        <v>0.09</v>
      </c>
      <c r="AG40" s="594" t="s">
        <v>812</v>
      </c>
      <c r="AH40" s="154">
        <f>IF(ISNUMBER(WA!L34),WA!L34,"")</f>
        <v>4.5730000000000022</v>
      </c>
      <c r="AI40" s="591" t="s">
        <v>812</v>
      </c>
      <c r="AJ40" s="155">
        <f>IF(ISNUMBER(WA!M34),WA!M34,"")</f>
        <v>3.9750000000000014</v>
      </c>
      <c r="AK40" s="592" t="s">
        <v>812</v>
      </c>
      <c r="AL40" s="768"/>
      <c r="AM40" s="604">
        <f>IF(ISNUMBER(ACT!K34),ACT!K34*1000000/AM$7,"")</f>
        <v>0</v>
      </c>
      <c r="AN40" s="605">
        <f>IF(ISNUMBER(ACT!L34),ACT!L34*1000000/AN$7,"")</f>
        <v>0</v>
      </c>
      <c r="AO40" s="606">
        <f>IF(ISNUMBER(NSW!K34),NSW!K34*1000000/AO$7,"")</f>
        <v>0</v>
      </c>
      <c r="AP40" s="606">
        <f>IF(ISNUMBER(NSW!L34),NSW!L34*1000000/AP$7,"")</f>
        <v>0</v>
      </c>
      <c r="AQ40" s="604" t="str">
        <f>IF(ISNUMBER(NT!K34),NT!K34*1000000/AQ$7,"")</f>
        <v/>
      </c>
      <c r="AR40" s="605">
        <f>IF(ISNUMBER(NT!L34),NT!L34*1000000/AR$7,"")</f>
        <v>0</v>
      </c>
      <c r="AS40" s="606" t="str">
        <f>IF(ISNUMBER(Qld!K34),Qld!K34*1000000/AS$7,"")</f>
        <v/>
      </c>
      <c r="AT40" s="606">
        <f>IF(ISNUMBER(Qld!L34),Qld!L34*1000000/AT$7,"")</f>
        <v>0</v>
      </c>
      <c r="AU40" s="604" t="str">
        <f>IF(ISNUMBER(SA!K34),SA!K34*1000000/AU$7,"")</f>
        <v/>
      </c>
      <c r="AV40" s="605">
        <f>IF(ISNUMBER(SA!L34),SA!L34*1000000/AV$7,"")</f>
        <v>0.56134316281041829</v>
      </c>
      <c r="AW40" s="606" t="str">
        <f>IF(ISNUMBER(TAS!K34),TAS!K34*1000000/AW$7,"")</f>
        <v/>
      </c>
      <c r="AX40" s="606" t="str">
        <f>IF(ISNUMBER(TAS!L34),TAS!L34*1000000/AX$7,"")</f>
        <v/>
      </c>
      <c r="AY40" s="604">
        <f>IF(ISNUMBER(Vic!K34),Vic!K34*1000000/AY$7,"")</f>
        <v>6.404525584767308E-2</v>
      </c>
      <c r="AZ40" s="605">
        <f>IF(ISNUMBER(Vic!L34),Vic!L34*1000000/AZ$7,"")</f>
        <v>1.5602949997746241E-2</v>
      </c>
      <c r="BA40" s="606">
        <f>IF(ISNUMBER(WA!L34),WA!L34*1000000/BA$7,"")</f>
        <v>1.8274346980816538</v>
      </c>
      <c r="BB40" s="606">
        <f>IF(ISNUMBER(WA!M34),WA!M34*1000000/BB$7,"")</f>
        <v>1.5668402213206163</v>
      </c>
      <c r="BC40" s="617">
        <f t="shared" si="0"/>
        <v>0.36684238982346434</v>
      </c>
      <c r="BE40" s="604">
        <v>0</v>
      </c>
      <c r="BF40" s="606">
        <v>0</v>
      </c>
      <c r="BG40" s="606">
        <f>SUM([2]NT!M34:N34)</f>
        <v>0</v>
      </c>
      <c r="BH40" s="606">
        <v>0</v>
      </c>
      <c r="BI40" s="606">
        <v>0.19883722401543941</v>
      </c>
      <c r="BJ40" s="606"/>
      <c r="BK40" s="606">
        <v>0.89098162653329027</v>
      </c>
      <c r="BL40" s="605">
        <v>22.741794089456704</v>
      </c>
    </row>
    <row r="41" spans="2:64">
      <c r="B41" s="903"/>
      <c r="C41" s="873"/>
      <c r="D41" s="602" t="s">
        <v>101</v>
      </c>
      <c r="E41" s="620" t="s">
        <v>100</v>
      </c>
      <c r="F41" s="154">
        <f>IF(ISNUMBER(ACT!K35),ACT!K35,"")</f>
        <v>0</v>
      </c>
      <c r="G41" s="591" t="s">
        <v>812</v>
      </c>
      <c r="H41" s="155">
        <f>IF(ISNUMBER(ACT!L35),ACT!L35,"")</f>
        <v>0</v>
      </c>
      <c r="I41" s="592" t="s">
        <v>812</v>
      </c>
      <c r="J41" s="155">
        <f>IF(ISNUMBER(NSW!K35),NSW!K35,"")</f>
        <v>0</v>
      </c>
      <c r="K41" s="591" t="s">
        <v>812</v>
      </c>
      <c r="L41" s="155">
        <f>IF(ISNUMBER(NSW!L35),NSW!L35,"")</f>
        <v>0</v>
      </c>
      <c r="M41" s="592" t="s">
        <v>812</v>
      </c>
      <c r="N41" s="154" t="str">
        <f>IF(ISNUMBER(NT!K35),NT!K35,"")</f>
        <v/>
      </c>
      <c r="O41" s="591" t="s">
        <v>812</v>
      </c>
      <c r="P41" s="155">
        <f>IF(ISNUMBER(NT!L35),NT!L35,"")</f>
        <v>0</v>
      </c>
      <c r="Q41" s="592" t="s">
        <v>812</v>
      </c>
      <c r="R41" s="154" t="str">
        <f>IF(ISNUMBER(Qld!K35),Qld!K35,"")</f>
        <v/>
      </c>
      <c r="S41" s="591" t="s">
        <v>812</v>
      </c>
      <c r="T41" s="155">
        <f>IF(ISNUMBER(Qld!L35),Qld!L35,"")</f>
        <v>0</v>
      </c>
      <c r="U41" s="592" t="s">
        <v>812</v>
      </c>
      <c r="V41" s="154" t="str">
        <f>IF(ISNUMBER(SA!K35),SA!K35,"")</f>
        <v/>
      </c>
      <c r="W41" s="591" t="s">
        <v>812</v>
      </c>
      <c r="X41" s="155">
        <f>IF(ISNUMBER(SA!L35),SA!L35,"")</f>
        <v>0.52</v>
      </c>
      <c r="Y41" s="592" t="s">
        <v>812</v>
      </c>
      <c r="Z41" s="154" t="str">
        <f>IF(ISNUMBER(TAS!K35),TAS!K35,"")</f>
        <v/>
      </c>
      <c r="AA41" s="591" t="s">
        <v>812</v>
      </c>
      <c r="AB41" s="155" t="str">
        <f>IF(ISNUMBER(TAS!L35),TAS!L35,"")</f>
        <v/>
      </c>
      <c r="AC41" s="592" t="s">
        <v>812</v>
      </c>
      <c r="AD41" s="154">
        <f>IF(ISNUMBER(Vic!K35),Vic!K35,"")</f>
        <v>0.36599999999999999</v>
      </c>
      <c r="AE41" s="595" t="s">
        <v>812</v>
      </c>
      <c r="AF41" s="155">
        <f>IF(ISNUMBER(Vic!L35),Vic!L35,"")</f>
        <v>0.09</v>
      </c>
      <c r="AG41" s="594" t="s">
        <v>812</v>
      </c>
      <c r="AH41" s="154">
        <f>IF(ISNUMBER(WA!L35),WA!L35,"")</f>
        <v>1.0049999999999999</v>
      </c>
      <c r="AI41" s="591" t="s">
        <v>812</v>
      </c>
      <c r="AJ41" s="155">
        <f>IF(ISNUMBER(WA!M35),WA!M35,"")</f>
        <v>5.660000000000001</v>
      </c>
      <c r="AK41" s="592" t="s">
        <v>812</v>
      </c>
      <c r="AL41" s="768"/>
      <c r="AM41" s="604">
        <f>IF(ISNUMBER(ACT!K35),ACT!K35*1000000/AM$7,"")</f>
        <v>0</v>
      </c>
      <c r="AN41" s="605">
        <f>IF(ISNUMBER(ACT!L35),ACT!L35*1000000/AN$7,"")</f>
        <v>0</v>
      </c>
      <c r="AO41" s="606">
        <f>IF(ISNUMBER(NSW!K35),NSW!K35*1000000/AO$7,"")</f>
        <v>0</v>
      </c>
      <c r="AP41" s="606">
        <f>IF(ISNUMBER(NSW!L35),NSW!L35*1000000/AP$7,"")</f>
        <v>0</v>
      </c>
      <c r="AQ41" s="604" t="str">
        <f>IF(ISNUMBER(NT!K35),NT!K35*1000000/AQ$7,"")</f>
        <v/>
      </c>
      <c r="AR41" s="605">
        <f>IF(ISNUMBER(NT!L35),NT!L35*1000000/AR$7,"")</f>
        <v>0</v>
      </c>
      <c r="AS41" s="606" t="str">
        <f>IF(ISNUMBER(Qld!K35),Qld!K35*1000000/AS$7,"")</f>
        <v/>
      </c>
      <c r="AT41" s="606">
        <f>IF(ISNUMBER(Qld!L35),Qld!L35*1000000/AT$7,"")</f>
        <v>0</v>
      </c>
      <c r="AU41" s="604" t="str">
        <f>IF(ISNUMBER(SA!K35),SA!K35*1000000/AU$7,"")</f>
        <v/>
      </c>
      <c r="AV41" s="605">
        <f>IF(ISNUMBER(SA!L35),SA!L35*1000000/AV$7,"")</f>
        <v>0.31053026027810371</v>
      </c>
      <c r="AW41" s="606" t="str">
        <f>IF(ISNUMBER(TAS!K35),TAS!K35*1000000/AW$7,"")</f>
        <v/>
      </c>
      <c r="AX41" s="606" t="str">
        <f>IF(ISNUMBER(TAS!L35),TAS!L35*1000000/AX$7,"")</f>
        <v/>
      </c>
      <c r="AY41" s="604">
        <f>IF(ISNUMBER(Vic!K35),Vic!K35*1000000/AY$7,"")</f>
        <v>6.404525584767308E-2</v>
      </c>
      <c r="AZ41" s="605">
        <f>IF(ISNUMBER(Vic!L35),Vic!L35*1000000/AZ$7,"")</f>
        <v>1.5602949997746241E-2</v>
      </c>
      <c r="BA41" s="606">
        <f>IF(ISNUMBER(WA!L35),WA!L35*1000000/BA$7,"")</f>
        <v>0.40161204276668733</v>
      </c>
      <c r="BB41" s="606">
        <f>IF(ISNUMBER(WA!M35),WA!M35*1000000/BB$7,"")</f>
        <v>2.2310228057043235</v>
      </c>
      <c r="BC41" s="617">
        <f t="shared" si="0"/>
        <v>0.2748012104176849</v>
      </c>
      <c r="BE41" s="604">
        <v>0</v>
      </c>
      <c r="BF41" s="606">
        <v>0</v>
      </c>
      <c r="BG41" s="606">
        <f>SUM([2]NT!M35:N35)</f>
        <v>0</v>
      </c>
      <c r="BH41" s="606">
        <v>29.324868976124318</v>
      </c>
      <c r="BI41" s="606"/>
      <c r="BJ41" s="606"/>
      <c r="BK41" s="606">
        <v>0.89098162653329027</v>
      </c>
      <c r="BL41" s="605">
        <v>26.680374870155344</v>
      </c>
    </row>
    <row r="42" spans="2:64">
      <c r="B42" s="904"/>
      <c r="C42" s="874"/>
      <c r="D42" s="614" t="s">
        <v>30</v>
      </c>
      <c r="E42" s="622" t="s">
        <v>151</v>
      </c>
      <c r="F42" s="774">
        <f>IF(ISNUMBER(ACT!K36),ACT!K36,"")</f>
        <v>0</v>
      </c>
      <c r="G42" s="770" t="s">
        <v>812</v>
      </c>
      <c r="H42" s="769">
        <f>IF(ISNUMBER(ACT!L36),ACT!L36,"")</f>
        <v>0</v>
      </c>
      <c r="I42" s="771" t="s">
        <v>812</v>
      </c>
      <c r="J42" s="769">
        <f>IF(ISNUMBER(NSW!K36),NSW!K36,"")</f>
        <v>0</v>
      </c>
      <c r="K42" s="770" t="s">
        <v>812</v>
      </c>
      <c r="L42" s="769">
        <f>IF(ISNUMBER(NSW!L36),NSW!L36,"")</f>
        <v>0</v>
      </c>
      <c r="M42" s="771" t="s">
        <v>812</v>
      </c>
      <c r="N42" s="774" t="str">
        <f>IF(ISNUMBER(NT!K36),NT!K36,"")</f>
        <v/>
      </c>
      <c r="O42" s="770" t="s">
        <v>812</v>
      </c>
      <c r="P42" s="769">
        <f>IF(ISNUMBER(NT!L36),NT!L36,"")</f>
        <v>0</v>
      </c>
      <c r="Q42" s="771" t="s">
        <v>812</v>
      </c>
      <c r="R42" s="774" t="str">
        <f>IF(ISNUMBER(Qld!K36),Qld!K36,"")</f>
        <v/>
      </c>
      <c r="S42" s="770" t="s">
        <v>812</v>
      </c>
      <c r="T42" s="769">
        <f>IF(ISNUMBER(Qld!L36),Qld!L36,"")</f>
        <v>926</v>
      </c>
      <c r="U42" s="771" t="s">
        <v>812</v>
      </c>
      <c r="V42" s="774" t="str">
        <f>IF(ISNUMBER(SA!K36),SA!K36,"")</f>
        <v/>
      </c>
      <c r="W42" s="770" t="s">
        <v>812</v>
      </c>
      <c r="X42" s="769">
        <f>IF(ISNUMBER(SA!L36),SA!L36,"")</f>
        <v>11.91</v>
      </c>
      <c r="Y42" s="771" t="s">
        <v>812</v>
      </c>
      <c r="Z42" s="774" t="str">
        <f>IF(ISNUMBER(TAS!K36),TAS!K36,"")</f>
        <v/>
      </c>
      <c r="AA42" s="770" t="s">
        <v>812</v>
      </c>
      <c r="AB42" s="769" t="str">
        <f>IF(ISNUMBER(TAS!L36),TAS!L36,"")</f>
        <v/>
      </c>
      <c r="AC42" s="771" t="s">
        <v>812</v>
      </c>
      <c r="AD42" s="774">
        <f>IF(ISNUMBER(Vic!K36),Vic!K36,"")</f>
        <v>0</v>
      </c>
      <c r="AE42" s="772" t="s">
        <v>812</v>
      </c>
      <c r="AF42" s="769">
        <f>IF(ISNUMBER(Vic!L36),Vic!L36,"")</f>
        <v>0</v>
      </c>
      <c r="AG42" s="773" t="s">
        <v>812</v>
      </c>
      <c r="AH42" s="774">
        <f>IF(ISNUMBER(WA!L36),WA!L36,"")</f>
        <v>0.60499999999999998</v>
      </c>
      <c r="AI42" s="770" t="s">
        <v>812</v>
      </c>
      <c r="AJ42" s="769">
        <f>IF(ISNUMBER(WA!M36),WA!M36,"")</f>
        <v>1.4339999999999997</v>
      </c>
      <c r="AK42" s="771" t="s">
        <v>812</v>
      </c>
      <c r="AL42" s="768"/>
      <c r="AM42" s="788">
        <f>IF(ISNUMBER(ACT!K36),ACT!K36*1000000/AM$7,"")</f>
        <v>0</v>
      </c>
      <c r="AN42" s="790">
        <f>IF(ISNUMBER(ACT!L36),ACT!L36*1000000/AN$7,"")</f>
        <v>0</v>
      </c>
      <c r="AO42" s="777">
        <f>IF(ISNUMBER(NSW!K36),NSW!K36*1000000/AO$7,"")</f>
        <v>0</v>
      </c>
      <c r="AP42" s="777">
        <f>IF(ISNUMBER(NSW!L36),NSW!L36*1000000/AP$7,"")</f>
        <v>0</v>
      </c>
      <c r="AQ42" s="788" t="str">
        <f>IF(ISNUMBER(NT!K36),NT!K36*1000000/AQ$7,"")</f>
        <v/>
      </c>
      <c r="AR42" s="790">
        <f>IF(ISNUMBER(NT!L36),NT!L36*1000000/AR$7,"")</f>
        <v>0</v>
      </c>
      <c r="AS42" s="777" t="str">
        <f>IF(ISNUMBER(Qld!K36),Qld!K36*1000000/AS$7,"")</f>
        <v/>
      </c>
      <c r="AT42" s="777">
        <f>IF(ISNUMBER(Qld!L36),Qld!L36*1000000/AT$7,"")</f>
        <v>198.09168821395102</v>
      </c>
      <c r="AU42" s="788" t="str">
        <f>IF(ISNUMBER(SA!K36),SA!K36*1000000/AU$7,"")</f>
        <v/>
      </c>
      <c r="AV42" s="790">
        <f>IF(ISNUMBER(SA!L36),SA!L36*1000000/AV$7,"")</f>
        <v>7.1123373075234912</v>
      </c>
      <c r="AW42" s="777" t="str">
        <f>IF(ISNUMBER(TAS!K36),TAS!K36*1000000/AW$7,"")</f>
        <v/>
      </c>
      <c r="AX42" s="777" t="str">
        <f>IF(ISNUMBER(TAS!L36),TAS!L36*1000000/AX$7,"")</f>
        <v/>
      </c>
      <c r="AY42" s="788">
        <f>IF(ISNUMBER(Vic!K36),Vic!K36*1000000/AY$7,"")</f>
        <v>0</v>
      </c>
      <c r="AZ42" s="790">
        <f>IF(ISNUMBER(Vic!L36),Vic!L36*1000000/AZ$7,"")</f>
        <v>0</v>
      </c>
      <c r="BA42" s="777">
        <f>IF(ISNUMBER(WA!L36),WA!L36*1000000/BA$7,"")</f>
        <v>0.24176645360581678</v>
      </c>
      <c r="BB42" s="777">
        <f>IF(ISNUMBER(WA!M36),WA!M36*1000000/BB$7,"")</f>
        <v>0.56524500059717298</v>
      </c>
      <c r="BC42" s="617">
        <f t="shared" si="0"/>
        <v>18.728276088697953</v>
      </c>
      <c r="BE42" s="788">
        <v>0</v>
      </c>
      <c r="BF42" s="777">
        <v>59.855367931514074</v>
      </c>
      <c r="BG42" s="777">
        <f>SUM([2]NT!M36:N36)</f>
        <v>0</v>
      </c>
      <c r="BH42" s="777">
        <v>93.664506878964232</v>
      </c>
      <c r="BI42" s="777"/>
      <c r="BJ42" s="777"/>
      <c r="BK42" s="777">
        <v>0</v>
      </c>
      <c r="BL42" s="790">
        <v>0</v>
      </c>
    </row>
    <row r="43" spans="2:64">
      <c r="B43" s="607" t="s">
        <v>31</v>
      </c>
      <c r="C43" s="608" t="s">
        <v>32</v>
      </c>
      <c r="D43" s="602" t="s">
        <v>33</v>
      </c>
      <c r="E43" s="620" t="s">
        <v>102</v>
      </c>
      <c r="F43" s="155">
        <f>IF(ISNUMBER(ACT!K37),ACT!K37,"")</f>
        <v>0.193</v>
      </c>
      <c r="G43" s="591" t="s">
        <v>812</v>
      </c>
      <c r="H43" s="155">
        <f>IF(ISNUMBER(ACT!L37),ACT!L37,"")</f>
        <v>2.1000000000000001E-2</v>
      </c>
      <c r="I43" s="592" t="s">
        <v>812</v>
      </c>
      <c r="J43" s="155">
        <f>IF(ISNUMBER(NSW!K37),NSW!K37,"")</f>
        <v>7.0575000000000001</v>
      </c>
      <c r="K43" s="591" t="s">
        <v>812</v>
      </c>
      <c r="L43" s="155">
        <f>IF(ISNUMBER(NSW!L37),NSW!L37,"")</f>
        <v>3.2834999999999996</v>
      </c>
      <c r="M43" s="592" t="s">
        <v>812</v>
      </c>
      <c r="N43" s="154" t="str">
        <f>IF(ISNUMBER(NT!K37),NT!K37,"")</f>
        <v/>
      </c>
      <c r="O43" s="591" t="s">
        <v>812</v>
      </c>
      <c r="P43" s="155">
        <f>IF(ISNUMBER(NT!L37),NT!L37,"")</f>
        <v>0</v>
      </c>
      <c r="Q43" s="592" t="s">
        <v>812</v>
      </c>
      <c r="R43" s="154" t="str">
        <f>IF(ISNUMBER(Qld!K37),Qld!K37,"")</f>
        <v/>
      </c>
      <c r="S43" s="591" t="s">
        <v>812</v>
      </c>
      <c r="T43" s="155">
        <f>IF(ISNUMBER(Qld!L37),Qld!L37,"")</f>
        <v>39</v>
      </c>
      <c r="U43" s="592" t="s">
        <v>812</v>
      </c>
      <c r="V43" s="154" t="str">
        <f>IF(ISNUMBER(SA!K37),SA!K37,"")</f>
        <v/>
      </c>
      <c r="W43" s="591" t="s">
        <v>812</v>
      </c>
      <c r="X43" s="155">
        <f>IF(ISNUMBER(SA!L37),SA!L37,"")</f>
        <v>1.5100000000000002</v>
      </c>
      <c r="Y43" s="592" t="s">
        <v>812</v>
      </c>
      <c r="Z43" s="154" t="str">
        <f>IF(ISNUMBER(TAS!K37),TAS!K37,"")</f>
        <v/>
      </c>
      <c r="AA43" s="591" t="s">
        <v>812</v>
      </c>
      <c r="AB43" s="155">
        <f>IF(ISNUMBER(TAS!L37),TAS!L37,"")</f>
        <v>0.24</v>
      </c>
      <c r="AC43" s="592" t="s">
        <v>812</v>
      </c>
      <c r="AD43" s="154">
        <f>IF(ISNUMBER(Vic!K37),Vic!K37,"")</f>
        <v>56.247000000000007</v>
      </c>
      <c r="AE43" s="595" t="s">
        <v>812</v>
      </c>
      <c r="AF43" s="155">
        <f>IF(ISNUMBER(Vic!L37),Vic!L37,"")</f>
        <v>17.387999999999998</v>
      </c>
      <c r="AG43" s="594" t="s">
        <v>812</v>
      </c>
      <c r="AH43" s="154">
        <f>IF(ISNUMBER(WA!L37),WA!L37,"")</f>
        <v>0</v>
      </c>
      <c r="AI43" s="591" t="s">
        <v>812</v>
      </c>
      <c r="AJ43" s="155">
        <f>IF(ISNUMBER(WA!M37),WA!M37,"")</f>
        <v>0</v>
      </c>
      <c r="AK43" s="592" t="s">
        <v>812</v>
      </c>
      <c r="AL43" s="768"/>
      <c r="AM43" s="604">
        <f>IF(ISNUMBER(ACT!K37),ACT!K37*1000000/AM$7,"")</f>
        <v>0.50798162843644312</v>
      </c>
      <c r="AN43" s="605">
        <f>IF(ISNUMBER(ACT!L37),ACT!L37*1000000/AN$7,"")</f>
        <v>5.4852629269362976E-2</v>
      </c>
      <c r="AO43" s="606">
        <f>IF(ISNUMBER(NSW!K37),NSW!K37*1000000/AO$7,"")</f>
        <v>0.95593242929147626</v>
      </c>
      <c r="AP43" s="606">
        <f>IF(ISNUMBER(NSW!L37),NSW!L37*1000000/AP$7,"")</f>
        <v>0.44142705900146195</v>
      </c>
      <c r="AQ43" s="604" t="str">
        <f>IF(ISNUMBER(NT!K37),NT!K37*1000000/AQ$7,"")</f>
        <v/>
      </c>
      <c r="AR43" s="605">
        <f>IF(ISNUMBER(NT!L37),NT!L37*1000000/AR$7,"")</f>
        <v>0</v>
      </c>
      <c r="AS43" s="606" t="str">
        <f>IF(ISNUMBER(Qld!K37),Qld!K37*1000000/AS$7,"")</f>
        <v/>
      </c>
      <c r="AT43" s="606">
        <f>IF(ISNUMBER(Qld!L37),Qld!L37*1000000/AT$7,"")</f>
        <v>8.3429544712139183</v>
      </c>
      <c r="AU43" s="604" t="str">
        <f>IF(ISNUMBER(SA!K37),SA!K37*1000000/AU$7,"")</f>
        <v/>
      </c>
      <c r="AV43" s="605">
        <f>IF(ISNUMBER(SA!L37),SA!L37*1000000/AV$7,"")</f>
        <v>0.90173210196141673</v>
      </c>
      <c r="AW43" s="606" t="str">
        <f>IF(ISNUMBER(TAS!K37),TAS!K37*1000000/AW$7,"")</f>
        <v/>
      </c>
      <c r="AX43" s="606">
        <f>IF(ISNUMBER(TAS!L37),TAS!L37*1000000/AX$7,"")</f>
        <v>0.4674717569146864</v>
      </c>
      <c r="AY43" s="604">
        <f>IF(ISNUMBER(Vic!K37),Vic!K37*1000000/AY$7,"")</f>
        <v>9.8424959171149418</v>
      </c>
      <c r="AZ43" s="605">
        <f>IF(ISNUMBER(Vic!L37),Vic!L37*1000000/AZ$7,"")</f>
        <v>3.014489939564573</v>
      </c>
      <c r="BA43" s="606">
        <f>IF(ISNUMBER(WA!L37),WA!L37*1000000/BA$7,"")</f>
        <v>0</v>
      </c>
      <c r="BB43" s="606">
        <f>IF(ISNUMBER(WA!M37),WA!M37*1000000/BB$7,"")</f>
        <v>0</v>
      </c>
      <c r="BC43" s="787">
        <f t="shared" si="0"/>
        <v>2.0441114943973568</v>
      </c>
      <c r="BE43" s="604">
        <v>0.80275935147747857</v>
      </c>
      <c r="BF43" s="606">
        <v>479.40241839231464</v>
      </c>
      <c r="BG43" s="606">
        <f>SUM([2]NT!M37:N37)</f>
        <v>0</v>
      </c>
      <c r="BH43" s="606">
        <v>10.504430678014682</v>
      </c>
      <c r="BI43" s="606">
        <v>1.1026427877219822</v>
      </c>
      <c r="BJ43" s="606">
        <v>0.14460889019304685</v>
      </c>
      <c r="BK43" s="606">
        <v>5.1448674829038596</v>
      </c>
      <c r="BL43" s="605"/>
    </row>
    <row r="44" spans="2:64">
      <c r="B44" s="902" t="s">
        <v>34</v>
      </c>
      <c r="C44" s="872" t="s">
        <v>152</v>
      </c>
      <c r="D44" s="597" t="s">
        <v>35</v>
      </c>
      <c r="E44" s="619" t="s">
        <v>103</v>
      </c>
      <c r="F44" s="157">
        <f>IF(ISNUMBER(ACT!K38),ACT!K38,"")</f>
        <v>74</v>
      </c>
      <c r="G44" s="589" t="s">
        <v>812</v>
      </c>
      <c r="H44" s="158">
        <f>IF(ISNUMBER(ACT!L38),ACT!L38,"")</f>
        <v>131.91</v>
      </c>
      <c r="I44" s="588" t="s">
        <v>812</v>
      </c>
      <c r="J44" s="158">
        <f>IF(ISNUMBER(NSW!K38),NSW!K38,"")</f>
        <v>5714.8418099999999</v>
      </c>
      <c r="K44" s="589" t="s">
        <v>812</v>
      </c>
      <c r="L44" s="158">
        <f>IF(ISNUMBER(NSW!L38),NSW!L38,"")</f>
        <v>6709.4102699999876</v>
      </c>
      <c r="M44" s="588" t="s">
        <v>812</v>
      </c>
      <c r="N44" s="157" t="str">
        <f>IF(ISNUMBER(NT!K38),NT!K38,"")</f>
        <v/>
      </c>
      <c r="O44" s="589" t="s">
        <v>812</v>
      </c>
      <c r="P44" s="158">
        <f>IF(ISNUMBER(NT!L38),NT!L38,"")</f>
        <v>86.023124655821135</v>
      </c>
      <c r="Q44" s="588" t="s">
        <v>812</v>
      </c>
      <c r="R44" s="157" t="str">
        <f>IF(ISNUMBER(Qld!K38),Qld!K38,"")</f>
        <v/>
      </c>
      <c r="S44" s="589" t="s">
        <v>812</v>
      </c>
      <c r="T44" s="158">
        <f>IF(ISNUMBER(Qld!L38),Qld!L38,"")</f>
        <v>11154</v>
      </c>
      <c r="U44" s="588" t="s">
        <v>812</v>
      </c>
      <c r="V44" s="157" t="str">
        <f>IF(ISNUMBER(SA!K38),SA!K38,"")</f>
        <v/>
      </c>
      <c r="W44" s="589" t="s">
        <v>812</v>
      </c>
      <c r="X44" s="158">
        <f>IF(ISNUMBER(SA!L38),SA!L38,"")</f>
        <v>2236.41</v>
      </c>
      <c r="Y44" s="588" t="s">
        <v>812</v>
      </c>
      <c r="Z44" s="157" t="str">
        <f>IF(ISNUMBER(TAS!K38),TAS!K38,"")</f>
        <v/>
      </c>
      <c r="AA44" s="589" t="s">
        <v>812</v>
      </c>
      <c r="AB44" s="158" t="str">
        <f>IF(ISNUMBER(TAS!L38),TAS!L38,"")</f>
        <v/>
      </c>
      <c r="AC44" s="588" t="s">
        <v>812</v>
      </c>
      <c r="AD44" s="157">
        <f>IF(ISNUMBER(Vic!K38),Vic!K38,"")</f>
        <v>8577.4579999999969</v>
      </c>
      <c r="AE44" s="596" t="s">
        <v>812</v>
      </c>
      <c r="AF44" s="158">
        <f>IF(ISNUMBER(Vic!L38),Vic!L38,"")</f>
        <v>8382.7319999999982</v>
      </c>
      <c r="AG44" s="593" t="s">
        <v>812</v>
      </c>
      <c r="AH44" s="157">
        <f>IF(ISNUMBER(WA!L38),WA!L38,"")</f>
        <v>541.49698000000012</v>
      </c>
      <c r="AI44" s="589" t="s">
        <v>812</v>
      </c>
      <c r="AJ44" s="158">
        <f>IF(ISNUMBER(WA!M38),WA!M38,"")</f>
        <v>501.47590000000002</v>
      </c>
      <c r="AK44" s="588" t="s">
        <v>812</v>
      </c>
      <c r="AL44" s="768"/>
      <c r="AM44" s="599">
        <f>IF(ISNUMBER(ACT!K38),ACT!K38*1000000/AM$7,"")</f>
        <v>194.77015805335122</v>
      </c>
      <c r="AN44" s="600">
        <f>IF(ISNUMBER(ACT!L38),ACT!L38*1000000/AN$7,"")</f>
        <v>344.55287271055573</v>
      </c>
      <c r="AO44" s="601">
        <f>IF(ISNUMBER(NSW!K38),NSW!K38*1000000/AO$7,"")</f>
        <v>774.0705086007506</v>
      </c>
      <c r="AP44" s="601">
        <f>IF(ISNUMBER(NSW!L38),NSW!L38*1000000/AP$7,"")</f>
        <v>901.99946493689652</v>
      </c>
      <c r="AQ44" s="599" t="str">
        <f>IF(ISNUMBER(NT!K38),NT!K38*1000000/AQ$7,"")</f>
        <v/>
      </c>
      <c r="AR44" s="600">
        <f>IF(ISNUMBER(NT!L38),NT!L38*1000000/AR$7,"")</f>
        <v>355.15632857092601</v>
      </c>
      <c r="AS44" s="601" t="str">
        <f>IF(ISNUMBER(Qld!K38),Qld!K38*1000000/AS$7,"")</f>
        <v/>
      </c>
      <c r="AT44" s="601">
        <f>IF(ISNUMBER(Qld!L38),Qld!L38*1000000/AT$7,"")</f>
        <v>2386.0849787671809</v>
      </c>
      <c r="AU44" s="599" t="str">
        <f>IF(ISNUMBER(SA!K38),SA!K38*1000000/AU$7,"")</f>
        <v/>
      </c>
      <c r="AV44" s="600">
        <f>IF(ISNUMBER(SA!L38),SA!L38*1000000/AV$7,"")</f>
        <v>1335.5249603626039</v>
      </c>
      <c r="AW44" s="601" t="str">
        <f>IF(ISNUMBER(TAS!K38),TAS!K38*1000000/AW$7,"")</f>
        <v/>
      </c>
      <c r="AX44" s="601" t="str">
        <f>IF(ISNUMBER(TAS!L38),TAS!L38*1000000/AX$7,"")</f>
        <v/>
      </c>
      <c r="AY44" s="599">
        <f>IF(ISNUMBER(Vic!K38),Vic!K38*1000000/AY$7,"")</f>
        <v>1500.9439675756014</v>
      </c>
      <c r="AZ44" s="600">
        <f>IF(ISNUMBER(Vic!L38),Vic!L38*1000000/AZ$7,"")</f>
        <v>1453.2816471167478</v>
      </c>
      <c r="BA44" s="601">
        <f>IF(ISNUMBER(WA!L38),WA!L38*1000000/BA$7,"")</f>
        <v>216.38975949233046</v>
      </c>
      <c r="BB44" s="601">
        <f>IF(ISNUMBER(WA!M38),WA!M38*1000000/BB$7,"")</f>
        <v>197.66858116803897</v>
      </c>
      <c r="BC44" s="616">
        <f t="shared" si="0"/>
        <v>878.22211157772551</v>
      </c>
      <c r="BE44" s="599">
        <v>337.13961418645124</v>
      </c>
      <c r="BF44" s="601">
        <v>34885.282839588981</v>
      </c>
      <c r="BG44" s="601">
        <f>SUM([2]NT!M38:N38)</f>
        <v>36</v>
      </c>
      <c r="BH44" s="601">
        <v>2928.9854207197604</v>
      </c>
      <c r="BI44" s="601">
        <v>1380.2784823895568</v>
      </c>
      <c r="BJ44" s="601">
        <v>0</v>
      </c>
      <c r="BK44" s="601">
        <v>3664.6250547760374</v>
      </c>
      <c r="BL44" s="600">
        <v>816.5943284368567</v>
      </c>
    </row>
    <row r="45" spans="2:64">
      <c r="B45" s="904"/>
      <c r="C45" s="874"/>
      <c r="D45" s="614" t="s">
        <v>105</v>
      </c>
      <c r="E45" s="622" t="s">
        <v>104</v>
      </c>
      <c r="F45" s="774">
        <f>IF(ISNUMBER(ACT!K39),ACT!K39,"")</f>
        <v>0.88</v>
      </c>
      <c r="G45" s="770" t="s">
        <v>812</v>
      </c>
      <c r="H45" s="769">
        <f>IF(ISNUMBER(ACT!L39),ACT!L39,"")</f>
        <v>6</v>
      </c>
      <c r="I45" s="771" t="s">
        <v>812</v>
      </c>
      <c r="J45" s="769">
        <f>IF(ISNUMBER(NSW!K39),NSW!K39,"")</f>
        <v>1067.3615999999997</v>
      </c>
      <c r="K45" s="770" t="s">
        <v>812</v>
      </c>
      <c r="L45" s="769">
        <f>IF(ISNUMBER(NSW!L39),NSW!L39,"")</f>
        <v>1102.4033369999997</v>
      </c>
      <c r="M45" s="771" t="s">
        <v>812</v>
      </c>
      <c r="N45" s="774" t="str">
        <f>IF(ISNUMBER(NT!K39),NT!K39,"")</f>
        <v/>
      </c>
      <c r="O45" s="770" t="s">
        <v>812</v>
      </c>
      <c r="P45" s="769">
        <f>IF(ISNUMBER(NT!L39),NT!L39,"")</f>
        <v>2.054996866777949</v>
      </c>
      <c r="Q45" s="771" t="s">
        <v>812</v>
      </c>
      <c r="R45" s="774" t="str">
        <f>IF(ISNUMBER(Qld!K39),Qld!K39,"")</f>
        <v/>
      </c>
      <c r="S45" s="770" t="s">
        <v>812</v>
      </c>
      <c r="T45" s="769">
        <f>IF(ISNUMBER(Qld!L39),Qld!L39,"")</f>
        <v>881</v>
      </c>
      <c r="U45" s="771" t="s">
        <v>812</v>
      </c>
      <c r="V45" s="774" t="str">
        <f>IF(ISNUMBER(SA!K39),SA!K39,"")</f>
        <v/>
      </c>
      <c r="W45" s="770" t="s">
        <v>812</v>
      </c>
      <c r="X45" s="769">
        <f>IF(ISNUMBER(SA!L39),SA!L39,"")</f>
        <v>442.1</v>
      </c>
      <c r="Y45" s="771" t="s">
        <v>812</v>
      </c>
      <c r="Z45" s="774" t="str">
        <f>IF(ISNUMBER(TAS!K39),TAS!K39,"")</f>
        <v/>
      </c>
      <c r="AA45" s="770" t="s">
        <v>812</v>
      </c>
      <c r="AB45" s="769" t="str">
        <f>IF(ISNUMBER(TAS!L39),TAS!L39,"")</f>
        <v/>
      </c>
      <c r="AC45" s="771" t="s">
        <v>812</v>
      </c>
      <c r="AD45" s="774">
        <f>IF(ISNUMBER(Vic!K39),Vic!K39,"")</f>
        <v>134.99799999999999</v>
      </c>
      <c r="AE45" s="772" t="s">
        <v>812</v>
      </c>
      <c r="AF45" s="769">
        <f>IF(ISNUMBER(Vic!L39),Vic!L39,"")</f>
        <v>312.08100000000002</v>
      </c>
      <c r="AG45" s="773" t="s">
        <v>812</v>
      </c>
      <c r="AH45" s="774">
        <f>IF(ISNUMBER(WA!L39),WA!L39,"")</f>
        <v>359.89397999999989</v>
      </c>
      <c r="AI45" s="770" t="s">
        <v>812</v>
      </c>
      <c r="AJ45" s="769">
        <f>IF(ISNUMBER(WA!M39),WA!M39,"")</f>
        <v>483.08897500000023</v>
      </c>
      <c r="AK45" s="771" t="s">
        <v>812</v>
      </c>
      <c r="AL45" s="768"/>
      <c r="AM45" s="788">
        <f>IF(ISNUMBER(ACT!K39),ACT!K39*1000000/AM$7,"")</f>
        <v>2.3161856633371496</v>
      </c>
      <c r="AN45" s="790">
        <f>IF(ISNUMBER(ACT!L39),ACT!L39*1000000/AN$7,"")</f>
        <v>15.672179791246565</v>
      </c>
      <c r="AO45" s="777">
        <f>IF(ISNUMBER(NSW!K39),NSW!K39*1000000/AO$7,"")</f>
        <v>144.57322950342711</v>
      </c>
      <c r="AP45" s="777">
        <f>IF(ISNUMBER(NSW!L39),NSW!L39*1000000/AP$7,"")</f>
        <v>148.20486154570048</v>
      </c>
      <c r="AQ45" s="788" t="str">
        <f>IF(ISNUMBER(NT!K39),NT!K39*1000000/AQ$7,"")</f>
        <v/>
      </c>
      <c r="AR45" s="790">
        <f>IF(ISNUMBER(NT!L39),NT!L39*1000000/AR$7,"")</f>
        <v>8.4842900714165648</v>
      </c>
      <c r="AS45" s="777" t="str">
        <f>IF(ISNUMBER(Qld!K39),Qld!K39*1000000/AS$7,"")</f>
        <v/>
      </c>
      <c r="AT45" s="777">
        <f>IF(ISNUMBER(Qld!L39),Qld!L39*1000000/AT$7,"")</f>
        <v>188.46520228562724</v>
      </c>
      <c r="AU45" s="788" t="str">
        <f>IF(ISNUMBER(SA!K39),SA!K39*1000000/AU$7,"")</f>
        <v/>
      </c>
      <c r="AV45" s="790">
        <f>IF(ISNUMBER(SA!L39),SA!L39*1000000/AV$7,"")</f>
        <v>264.01043859413397</v>
      </c>
      <c r="AW45" s="777" t="str">
        <f>IF(ISNUMBER(TAS!K39),TAS!K39*1000000/AW$7,"")</f>
        <v/>
      </c>
      <c r="AX45" s="777" t="str">
        <f>IF(ISNUMBER(TAS!L39),TAS!L39*1000000/AX$7,"")</f>
        <v/>
      </c>
      <c r="AY45" s="788">
        <f>IF(ISNUMBER(Vic!K39),Vic!K39*1000000/AY$7,"")</f>
        <v>23.622900133672598</v>
      </c>
      <c r="AZ45" s="790">
        <f>IF(ISNUMBER(Vic!L39),Vic!L39*1000000/AZ$7,"")</f>
        <v>54.104269313851603</v>
      </c>
      <c r="BA45" s="777">
        <f>IF(ISNUMBER(WA!L39),WA!L39*1000000/BA$7,"")</f>
        <v>143.81866317137641</v>
      </c>
      <c r="BB45" s="777">
        <f>IF(ISNUMBER(WA!M39),WA!M39*1000000/BB$7,"")</f>
        <v>190.42094000164775</v>
      </c>
      <c r="BC45" s="787">
        <f t="shared" si="0"/>
        <v>107.60846909776704</v>
      </c>
      <c r="BE45" s="788">
        <v>2.8626360847947345</v>
      </c>
      <c r="BF45" s="777">
        <v>19741.500935372245</v>
      </c>
      <c r="BG45" s="777">
        <f>SUM([2]NT!M39:N39)</f>
        <v>0.86</v>
      </c>
      <c r="BH45" s="777">
        <v>275.74130529788533</v>
      </c>
      <c r="BI45" s="777">
        <v>140.3623142917115</v>
      </c>
      <c r="BJ45" s="777">
        <v>2.4101481698841142E-2</v>
      </c>
      <c r="BK45" s="777">
        <v>433.46773264759327</v>
      </c>
      <c r="BL45" s="790">
        <v>182.23732925928024</v>
      </c>
    </row>
    <row r="46" spans="2:64">
      <c r="B46" s="902" t="s">
        <v>37</v>
      </c>
      <c r="C46" s="872" t="s">
        <v>153</v>
      </c>
      <c r="D46" s="602" t="s">
        <v>38</v>
      </c>
      <c r="E46" s="620" t="s">
        <v>106</v>
      </c>
      <c r="F46" s="157">
        <f>IF(ISNUMBER(ACT!K40),ACT!K40,"")</f>
        <v>0</v>
      </c>
      <c r="G46" s="589" t="s">
        <v>812</v>
      </c>
      <c r="H46" s="158">
        <f>IF(ISNUMBER(ACT!L40),ACT!L40,"")</f>
        <v>0</v>
      </c>
      <c r="I46" s="588" t="s">
        <v>812</v>
      </c>
      <c r="J46" s="158">
        <f>IF(ISNUMBER(NSW!K40),NSW!K40,"")</f>
        <v>0</v>
      </c>
      <c r="K46" s="589" t="s">
        <v>812</v>
      </c>
      <c r="L46" s="158">
        <f>IF(ISNUMBER(NSW!L40),NSW!L40,"")</f>
        <v>0</v>
      </c>
      <c r="M46" s="588" t="s">
        <v>812</v>
      </c>
      <c r="N46" s="157" t="str">
        <f>IF(ISNUMBER(NT!K40),NT!K40,"")</f>
        <v/>
      </c>
      <c r="O46" s="589" t="s">
        <v>812</v>
      </c>
      <c r="P46" s="158">
        <f>IF(ISNUMBER(NT!L40),NT!L40,"")</f>
        <v>0</v>
      </c>
      <c r="Q46" s="588" t="s">
        <v>812</v>
      </c>
      <c r="R46" s="157" t="str">
        <f>IF(ISNUMBER(Qld!K40),Qld!K40,"")</f>
        <v/>
      </c>
      <c r="S46" s="589" t="s">
        <v>812</v>
      </c>
      <c r="T46" s="158">
        <f>IF(ISNUMBER(Qld!L40),Qld!L40,"")</f>
        <v>145</v>
      </c>
      <c r="U46" s="588" t="s">
        <v>812</v>
      </c>
      <c r="V46" s="157" t="str">
        <f>IF(ISNUMBER(SA!K40),SA!K40,"")</f>
        <v/>
      </c>
      <c r="W46" s="589" t="s">
        <v>812</v>
      </c>
      <c r="X46" s="158">
        <f>IF(ISNUMBER(SA!L40),SA!L40,"")</f>
        <v>6.29</v>
      </c>
      <c r="Y46" s="588" t="s">
        <v>812</v>
      </c>
      <c r="Z46" s="157" t="str">
        <f>IF(ISNUMBER(TAS!K40),TAS!K40,"")</f>
        <v/>
      </c>
      <c r="AA46" s="589" t="s">
        <v>812</v>
      </c>
      <c r="AB46" s="158" t="str">
        <f>IF(ISNUMBER(TAS!L40),TAS!L40,"")</f>
        <v/>
      </c>
      <c r="AC46" s="588" t="s">
        <v>812</v>
      </c>
      <c r="AD46" s="157">
        <f>IF(ISNUMBER(Vic!K40),Vic!K40,"")</f>
        <v>792.56199999999944</v>
      </c>
      <c r="AE46" s="596" t="s">
        <v>812</v>
      </c>
      <c r="AF46" s="158">
        <f>IF(ISNUMBER(Vic!L40),Vic!L40,"")</f>
        <v>502.80500000000001</v>
      </c>
      <c r="AG46" s="593" t="s">
        <v>812</v>
      </c>
      <c r="AH46" s="157">
        <f>IF(ISNUMBER(WA!L40),WA!L40,"")</f>
        <v>3.6190000000000002</v>
      </c>
      <c r="AI46" s="589" t="s">
        <v>812</v>
      </c>
      <c r="AJ46" s="158">
        <f>IF(ISNUMBER(WA!M40),WA!M40,"")</f>
        <v>12.922029999999996</v>
      </c>
      <c r="AK46" s="588" t="s">
        <v>812</v>
      </c>
      <c r="AL46" s="768"/>
      <c r="AM46" s="604">
        <f>IF(ISNUMBER(ACT!K40),ACT!K40*1000000/AM$7,"")</f>
        <v>0</v>
      </c>
      <c r="AN46" s="605">
        <f>IF(ISNUMBER(ACT!L40),ACT!L40*1000000/AN$7,"")</f>
        <v>0</v>
      </c>
      <c r="AO46" s="606">
        <f>IF(ISNUMBER(NSW!K40),NSW!K40*1000000/AO$7,"")</f>
        <v>0</v>
      </c>
      <c r="AP46" s="606">
        <f>IF(ISNUMBER(NSW!L40),NSW!L40*1000000/AP$7,"")</f>
        <v>0</v>
      </c>
      <c r="AQ46" s="604" t="str">
        <f>IF(ISNUMBER(NT!K40),NT!K40*1000000/AQ$7,"")</f>
        <v/>
      </c>
      <c r="AR46" s="605">
        <f>IF(ISNUMBER(NT!L40),NT!L40*1000000/AR$7,"")</f>
        <v>0</v>
      </c>
      <c r="AS46" s="606" t="str">
        <f>IF(ISNUMBER(Qld!K40),Qld!K40*1000000/AS$7,"")</f>
        <v/>
      </c>
      <c r="AT46" s="606">
        <f>IF(ISNUMBER(Qld!L40),Qld!L40*1000000/AT$7,"")</f>
        <v>31.018676880154313</v>
      </c>
      <c r="AU46" s="604" t="str">
        <f>IF(ISNUMBER(SA!K40),SA!K40*1000000/AU$7,"")</f>
        <v/>
      </c>
      <c r="AV46" s="605">
        <f>IF(ISNUMBER(SA!L40),SA!L40*1000000/AV$7,"")</f>
        <v>3.7562218022101392</v>
      </c>
      <c r="AW46" s="606" t="str">
        <f>IF(ISNUMBER(TAS!K40),TAS!K40*1000000/AW$7,"")</f>
        <v/>
      </c>
      <c r="AX46" s="606" t="str">
        <f>IF(ISNUMBER(TAS!L40),TAS!L40*1000000/AX$7,"")</f>
        <v/>
      </c>
      <c r="AY46" s="604">
        <f>IF(ISNUMBER(Vic!K40),Vic!K40*1000000/AY$7,"")</f>
        <v>138.68807668071977</v>
      </c>
      <c r="AZ46" s="605">
        <f>IF(ISNUMBER(Vic!L40),Vic!L40*1000000/AZ$7,"")</f>
        <v>87.169347484631089</v>
      </c>
      <c r="BA46" s="606">
        <f>IF(ISNUMBER(WA!L40),WA!L40*1000000/BA$7,"")</f>
        <v>1.4462029679329766</v>
      </c>
      <c r="BB46" s="606">
        <f>IF(ISNUMBER(WA!M40),WA!M40*1000000/BB$7,"")</f>
        <v>5.0935236088331148</v>
      </c>
      <c r="BC46" s="616">
        <f t="shared" ref="BC46:BC77" si="1">IFERROR(AVERAGE(AM46:BB46),"")</f>
        <v>24.288368129498313</v>
      </c>
      <c r="BE46" s="604">
        <v>0</v>
      </c>
      <c r="BF46" s="606">
        <v>0</v>
      </c>
      <c r="BG46" s="606">
        <f>SUM([2]NT!M40:N40)</f>
        <v>0</v>
      </c>
      <c r="BH46" s="606">
        <v>32.388661257211936</v>
      </c>
      <c r="BI46" s="606">
        <v>2.631243114326971</v>
      </c>
      <c r="BJ46" s="606"/>
      <c r="BK46" s="606">
        <v>229.59298466198766</v>
      </c>
      <c r="BL46" s="605">
        <v>31.564584988677158</v>
      </c>
    </row>
    <row r="47" spans="2:64">
      <c r="B47" s="903"/>
      <c r="C47" s="873"/>
      <c r="D47" s="602" t="s">
        <v>39</v>
      </c>
      <c r="E47" s="620" t="s">
        <v>107</v>
      </c>
      <c r="F47" s="154">
        <f>IF(ISNUMBER(ACT!K41),ACT!K41,"")</f>
        <v>40.549999999999997</v>
      </c>
      <c r="G47" s="591" t="s">
        <v>812</v>
      </c>
      <c r="H47" s="155">
        <f>IF(ISNUMBER(ACT!L41),ACT!L41,"")</f>
        <v>23.93</v>
      </c>
      <c r="I47" s="592" t="s">
        <v>812</v>
      </c>
      <c r="J47" s="155">
        <f>IF(ISNUMBER(NSW!K41),NSW!K41,"")</f>
        <v>1320.9823859999974</v>
      </c>
      <c r="K47" s="591" t="s">
        <v>812</v>
      </c>
      <c r="L47" s="155">
        <f>IF(ISNUMBER(NSW!L41),NSW!L41,"")</f>
        <v>3177.3779799999929</v>
      </c>
      <c r="M47" s="592" t="s">
        <v>812</v>
      </c>
      <c r="N47" s="154" t="str">
        <f>IF(ISNUMBER(NT!K41),NT!K41,"")</f>
        <v/>
      </c>
      <c r="O47" s="591" t="s">
        <v>812</v>
      </c>
      <c r="P47" s="155">
        <f>IF(ISNUMBER(NT!L41),NT!L41,"")</f>
        <v>16.559451496245568</v>
      </c>
      <c r="Q47" s="592" t="s">
        <v>812</v>
      </c>
      <c r="R47" s="154" t="str">
        <f>IF(ISNUMBER(Qld!K41),Qld!K41,"")</f>
        <v/>
      </c>
      <c r="S47" s="591" t="s">
        <v>812</v>
      </c>
      <c r="T47" s="155">
        <f>IF(ISNUMBER(Qld!L41),Qld!L41,"")</f>
        <v>2000</v>
      </c>
      <c r="U47" s="592" t="s">
        <v>812</v>
      </c>
      <c r="V47" s="154" t="str">
        <f>IF(ISNUMBER(SA!K41),SA!K41,"")</f>
        <v/>
      </c>
      <c r="W47" s="591" t="s">
        <v>812</v>
      </c>
      <c r="X47" s="155">
        <f>IF(ISNUMBER(SA!L41),SA!L41,"")</f>
        <v>279.39</v>
      </c>
      <c r="Y47" s="592" t="s">
        <v>812</v>
      </c>
      <c r="Z47" s="154" t="str">
        <f>IF(ISNUMBER(TAS!K41),TAS!K41,"")</f>
        <v/>
      </c>
      <c r="AA47" s="591" t="s">
        <v>812</v>
      </c>
      <c r="AB47" s="155">
        <f>IF(ISNUMBER(TAS!L41),TAS!L41,"")</f>
        <v>201.67</v>
      </c>
      <c r="AC47" s="592" t="s">
        <v>812</v>
      </c>
      <c r="AD47" s="154">
        <f>IF(ISNUMBER(Vic!K41),Vic!K41,"")</f>
        <v>2125.2039999999984</v>
      </c>
      <c r="AE47" s="595" t="s">
        <v>812</v>
      </c>
      <c r="AF47" s="155">
        <f>IF(ISNUMBER(Vic!L41),Vic!L41,"")</f>
        <v>1208.913</v>
      </c>
      <c r="AG47" s="594" t="s">
        <v>812</v>
      </c>
      <c r="AH47" s="154">
        <f>IF(ISNUMBER(WA!L41),WA!L41,"")</f>
        <v>2117.0175500000009</v>
      </c>
      <c r="AI47" s="591" t="s">
        <v>812</v>
      </c>
      <c r="AJ47" s="155">
        <f>IF(ISNUMBER(WA!M41),WA!M41,"")</f>
        <v>2532.245576999996</v>
      </c>
      <c r="AK47" s="592" t="s">
        <v>812</v>
      </c>
      <c r="AL47" s="768"/>
      <c r="AM47" s="604">
        <f>IF(ISNUMBER(ACT!K41),ACT!K41*1000000/AM$7,"")</f>
        <v>106.72878255491071</v>
      </c>
      <c r="AN47" s="605">
        <f>IF(ISNUMBER(ACT!L41),ACT!L41*1000000/AN$7,"")</f>
        <v>62.505877067421714</v>
      </c>
      <c r="AO47" s="606">
        <f>IF(ISNUMBER(NSW!K41),NSW!K41*1000000/AO$7,"")</f>
        <v>178.92595130006774</v>
      </c>
      <c r="AP47" s="606">
        <f>IF(ISNUMBER(NSW!L41),NSW!L41*1000000/AP$7,"")</f>
        <v>427.16023056110947</v>
      </c>
      <c r="AQ47" s="604" t="str">
        <f>IF(ISNUMBER(NT!K41),NT!K41*1000000/AQ$7,"")</f>
        <v/>
      </c>
      <c r="AR47" s="605">
        <f>IF(ISNUMBER(NT!L41),NT!L41*1000000/AR$7,"")</f>
        <v>68.367593249903265</v>
      </c>
      <c r="AS47" s="606" t="str">
        <f>IF(ISNUMBER(Qld!K41),Qld!K41*1000000/AS$7,"")</f>
        <v/>
      </c>
      <c r="AT47" s="606">
        <f>IF(ISNUMBER(Qld!L41),Qld!L41*1000000/AT$7,"")</f>
        <v>427.84381903661125</v>
      </c>
      <c r="AU47" s="604" t="str">
        <f>IF(ISNUMBER(SA!K41),SA!K41*1000000/AU$7,"")</f>
        <v/>
      </c>
      <c r="AV47" s="605">
        <f>IF(ISNUMBER(SA!L41),SA!L41*1000000/AV$7,"")</f>
        <v>166.84432580596038</v>
      </c>
      <c r="AW47" s="606" t="str">
        <f>IF(ISNUMBER(TAS!K41),TAS!K41*1000000/AW$7,"")</f>
        <v/>
      </c>
      <c r="AX47" s="606">
        <f>IF(ISNUMBER(TAS!L41),TAS!L41*1000000/AX$7,"")</f>
        <v>392.8126217374367</v>
      </c>
      <c r="AY47" s="604">
        <f>IF(ISNUMBER(Vic!K41),Vic!K41*1000000/AY$7,"")</f>
        <v>371.88315275545932</v>
      </c>
      <c r="AZ47" s="605">
        <f>IF(ISNUMBER(Vic!L41),Vic!L41*1000000/AZ$7,"")</f>
        <v>209.58454545139335</v>
      </c>
      <c r="BA47" s="606">
        <f>IF(ISNUMBER(WA!L41),WA!L41*1000000/BA$7,"")</f>
        <v>845.98979385913242</v>
      </c>
      <c r="BB47" s="606">
        <f>IF(ISNUMBER(WA!M41),WA!M41*1000000/BB$7,"")</f>
        <v>998.14445793832056</v>
      </c>
      <c r="BC47" s="617">
        <f t="shared" si="1"/>
        <v>354.73259594314391</v>
      </c>
      <c r="BE47" s="604">
        <v>91.029024215595314</v>
      </c>
      <c r="BF47" s="606">
        <v>8344.9007541404535</v>
      </c>
      <c r="BG47" s="606">
        <f>SUM([2]NT!M41:N41)</f>
        <v>6.93</v>
      </c>
      <c r="BH47" s="606">
        <v>463.94568827898172</v>
      </c>
      <c r="BI47" s="606">
        <v>680.45053870496906</v>
      </c>
      <c r="BJ47" s="606"/>
      <c r="BK47" s="606">
        <v>834.09754108776906</v>
      </c>
      <c r="BL47" s="605">
        <v>2322.0290294642764</v>
      </c>
    </row>
    <row r="48" spans="2:64">
      <c r="B48" s="903"/>
      <c r="C48" s="873"/>
      <c r="D48" s="602" t="s">
        <v>40</v>
      </c>
      <c r="E48" s="620" t="s">
        <v>108</v>
      </c>
      <c r="F48" s="154">
        <f>IF(ISNUMBER(ACT!K42),ACT!K42,"")</f>
        <v>1.91</v>
      </c>
      <c r="G48" s="591" t="s">
        <v>812</v>
      </c>
      <c r="H48" s="155">
        <f>IF(ISNUMBER(ACT!L42),ACT!L42,"")</f>
        <v>0.65</v>
      </c>
      <c r="I48" s="592" t="s">
        <v>812</v>
      </c>
      <c r="J48" s="155">
        <f>IF(ISNUMBER(NSW!K42),NSW!K42,"")</f>
        <v>103.1486000000005</v>
      </c>
      <c r="K48" s="591" t="s">
        <v>812</v>
      </c>
      <c r="L48" s="155">
        <f>IF(ISNUMBER(NSW!L42),NSW!L42,"")</f>
        <v>112.6314000000004</v>
      </c>
      <c r="M48" s="592" t="s">
        <v>812</v>
      </c>
      <c r="N48" s="154" t="str">
        <f>IF(ISNUMBER(NT!K42),NT!K42,"")</f>
        <v/>
      </c>
      <c r="O48" s="591" t="s">
        <v>812</v>
      </c>
      <c r="P48" s="155">
        <f>IF(ISNUMBER(NT!L42),NT!L42,"")</f>
        <v>2.1266828039911334</v>
      </c>
      <c r="Q48" s="592" t="s">
        <v>812</v>
      </c>
      <c r="R48" s="154" t="str">
        <f>IF(ISNUMBER(Qld!K42),Qld!K42,"")</f>
        <v/>
      </c>
      <c r="S48" s="591" t="s">
        <v>812</v>
      </c>
      <c r="T48" s="155">
        <f>IF(ISNUMBER(Qld!L42),Qld!L42,"")</f>
        <v>391</v>
      </c>
      <c r="U48" s="592" t="s">
        <v>812</v>
      </c>
      <c r="V48" s="154" t="str">
        <f>IF(ISNUMBER(SA!K42),SA!K42,"")</f>
        <v/>
      </c>
      <c r="W48" s="591" t="s">
        <v>812</v>
      </c>
      <c r="X48" s="155">
        <f>IF(ISNUMBER(SA!L42),SA!L42,"")</f>
        <v>93.32</v>
      </c>
      <c r="Y48" s="592" t="s">
        <v>812</v>
      </c>
      <c r="Z48" s="154" t="str">
        <f>IF(ISNUMBER(TAS!K42),TAS!K42,"")</f>
        <v/>
      </c>
      <c r="AA48" s="591" t="s">
        <v>812</v>
      </c>
      <c r="AB48" s="155">
        <f>IF(ISNUMBER(TAS!L42),TAS!L42,"")</f>
        <v>43.760999999999996</v>
      </c>
      <c r="AC48" s="592" t="s">
        <v>812</v>
      </c>
      <c r="AD48" s="154">
        <f>IF(ISNUMBER(Vic!K42),Vic!K42,"")</f>
        <v>95.921999999999997</v>
      </c>
      <c r="AE48" s="595" t="s">
        <v>812</v>
      </c>
      <c r="AF48" s="155">
        <f>IF(ISNUMBER(Vic!L42),Vic!L42,"")</f>
        <v>82.25</v>
      </c>
      <c r="AG48" s="594" t="s">
        <v>812</v>
      </c>
      <c r="AH48" s="154">
        <f>IF(ISNUMBER(WA!L42),WA!L42,"")</f>
        <v>116.15299999999995</v>
      </c>
      <c r="AI48" s="591" t="s">
        <v>812</v>
      </c>
      <c r="AJ48" s="155">
        <f>IF(ISNUMBER(WA!M42),WA!M42,"")</f>
        <v>62.161999999999992</v>
      </c>
      <c r="AK48" s="592" t="s">
        <v>812</v>
      </c>
      <c r="AL48" s="768"/>
      <c r="AM48" s="604">
        <f>IF(ISNUMBER(ACT!K42),ACT!K42*1000000/AM$7,"")</f>
        <v>5.0271757011067679</v>
      </c>
      <c r="AN48" s="605">
        <f>IF(ISNUMBER(ACT!L42),ACT!L42*1000000/AN$7,"")</f>
        <v>1.6978194773850446</v>
      </c>
      <c r="AO48" s="606">
        <f>IF(ISNUMBER(NSW!K42),NSW!K42*1000000/AO$7,"")</f>
        <v>13.971390970742508</v>
      </c>
      <c r="AP48" s="606">
        <f>IF(ISNUMBER(NSW!L42),NSW!L42*1000000/AP$7,"")</f>
        <v>15.141936242795019</v>
      </c>
      <c r="AQ48" s="604" t="str">
        <f>IF(ISNUMBER(NT!K42),NT!K42*1000000/AQ$7,"")</f>
        <v/>
      </c>
      <c r="AR48" s="605">
        <f>IF(ISNUMBER(NT!L42),NT!L42*1000000/AR$7,"")</f>
        <v>8.7802536785590029</v>
      </c>
      <c r="AS48" s="606" t="str">
        <f>IF(ISNUMBER(Qld!K42),Qld!K42*1000000/AS$7,"")</f>
        <v/>
      </c>
      <c r="AT48" s="606">
        <f>IF(ISNUMBER(Qld!L42),Qld!L42*1000000/AT$7,"")</f>
        <v>83.643466621657495</v>
      </c>
      <c r="AU48" s="604" t="str">
        <f>IF(ISNUMBER(SA!K42),SA!K42*1000000/AU$7,"")</f>
        <v/>
      </c>
      <c r="AV48" s="605">
        <f>IF(ISNUMBER(SA!L42),SA!L42*1000000/AV$7,"")</f>
        <v>55.728238248370459</v>
      </c>
      <c r="AW48" s="606" t="str">
        <f>IF(ISNUMBER(TAS!K42),TAS!K42*1000000/AW$7,"")</f>
        <v/>
      </c>
      <c r="AX48" s="606">
        <f>IF(ISNUMBER(TAS!L42),TAS!L42*1000000/AX$7,"")</f>
        <v>85.237631476431616</v>
      </c>
      <c r="AY48" s="604">
        <f>IF(ISNUMBER(Vic!K42),Vic!K42*1000000/AY$7,"")</f>
        <v>16.785106643225404</v>
      </c>
      <c r="AZ48" s="605">
        <f>IF(ISNUMBER(Vic!L42),Vic!L42*1000000/AZ$7,"")</f>
        <v>14.259362636829204</v>
      </c>
      <c r="BA48" s="606">
        <f>IF(ISNUMBER(WA!L42),WA!L42*1000000/BA$7,"")</f>
        <v>46.416361794506486</v>
      </c>
      <c r="BB48" s="606">
        <f>IF(ISNUMBER(WA!M42),WA!M42*1000000/BB$7,"")</f>
        <v>24.502621845970339</v>
      </c>
      <c r="BC48" s="617">
        <f t="shared" si="1"/>
        <v>30.932613778131611</v>
      </c>
      <c r="BE48" s="604">
        <v>21.546209011895037</v>
      </c>
      <c r="BF48" s="606">
        <v>600.46686120559536</v>
      </c>
      <c r="BG48" s="606">
        <f>SUM([2]NT!M42:N42)</f>
        <v>0.89</v>
      </c>
      <c r="BH48" s="606">
        <v>31.950976645627989</v>
      </c>
      <c r="BI48" s="606">
        <v>74.266553417434267</v>
      </c>
      <c r="BJ48" s="606">
        <v>145.21142723551787</v>
      </c>
      <c r="BK48" s="606">
        <v>31.396660763659</v>
      </c>
      <c r="BL48" s="605">
        <v>4.2899906493878373</v>
      </c>
    </row>
    <row r="49" spans="2:64">
      <c r="B49" s="904"/>
      <c r="C49" s="874"/>
      <c r="D49" s="602" t="s">
        <v>41</v>
      </c>
      <c r="E49" s="620" t="s">
        <v>109</v>
      </c>
      <c r="F49" s="774">
        <f>IF(ISNUMBER(ACT!K43),ACT!K43,"")</f>
        <v>0</v>
      </c>
      <c r="G49" s="770" t="s">
        <v>812</v>
      </c>
      <c r="H49" s="769">
        <f>IF(ISNUMBER(ACT!L43),ACT!L43,"")</f>
        <v>0</v>
      </c>
      <c r="I49" s="771" t="s">
        <v>812</v>
      </c>
      <c r="J49" s="769">
        <f>IF(ISNUMBER(NSW!K43),NSW!K43,"")</f>
        <v>381.70900000000017</v>
      </c>
      <c r="K49" s="770" t="s">
        <v>812</v>
      </c>
      <c r="L49" s="769">
        <f>IF(ISNUMBER(NSW!L43),NSW!L43,"")</f>
        <v>379.0234999999999</v>
      </c>
      <c r="M49" s="771" t="s">
        <v>812</v>
      </c>
      <c r="N49" s="774" t="str">
        <f>IF(ISNUMBER(NT!K43),NT!K43,"")</f>
        <v/>
      </c>
      <c r="O49" s="770" t="s">
        <v>812</v>
      </c>
      <c r="P49" s="769">
        <f>IF(ISNUMBER(NT!L43),NT!L43,"")</f>
        <v>0</v>
      </c>
      <c r="Q49" s="771" t="s">
        <v>812</v>
      </c>
      <c r="R49" s="774" t="str">
        <f>IF(ISNUMBER(Qld!K43),Qld!K43,"")</f>
        <v/>
      </c>
      <c r="S49" s="770" t="s">
        <v>812</v>
      </c>
      <c r="T49" s="769">
        <f>IF(ISNUMBER(Qld!L43),Qld!L43,"")</f>
        <v>11195</v>
      </c>
      <c r="U49" s="771" t="s">
        <v>812</v>
      </c>
      <c r="V49" s="774" t="str">
        <f>IF(ISNUMBER(SA!K43),SA!K43,"")</f>
        <v/>
      </c>
      <c r="W49" s="770" t="s">
        <v>812</v>
      </c>
      <c r="X49" s="769">
        <f>IF(ISNUMBER(SA!L43),SA!L43,"")</f>
        <v>26.4</v>
      </c>
      <c r="Y49" s="771" t="s">
        <v>812</v>
      </c>
      <c r="Z49" s="774" t="str">
        <f>IF(ISNUMBER(TAS!K43),TAS!K43,"")</f>
        <v/>
      </c>
      <c r="AA49" s="770" t="s">
        <v>812</v>
      </c>
      <c r="AB49" s="769" t="str">
        <f>IF(ISNUMBER(TAS!L43),TAS!L43,"")</f>
        <v/>
      </c>
      <c r="AC49" s="771" t="s">
        <v>812</v>
      </c>
      <c r="AD49" s="774">
        <f>IF(ISNUMBER(Vic!K43),Vic!K43,"")</f>
        <v>767.95199999999988</v>
      </c>
      <c r="AE49" s="772" t="s">
        <v>812</v>
      </c>
      <c r="AF49" s="769">
        <f>IF(ISNUMBER(Vic!L43),Vic!L43,"")</f>
        <v>936.61199999999997</v>
      </c>
      <c r="AG49" s="773" t="s">
        <v>812</v>
      </c>
      <c r="AH49" s="774">
        <f>IF(ISNUMBER(WA!L43),WA!L43,"")</f>
        <v>0</v>
      </c>
      <c r="AI49" s="770" t="s">
        <v>812</v>
      </c>
      <c r="AJ49" s="769">
        <f>IF(ISNUMBER(WA!M43),WA!M43,"")</f>
        <v>0</v>
      </c>
      <c r="AK49" s="771" t="s">
        <v>812</v>
      </c>
      <c r="AL49" s="768"/>
      <c r="AM49" s="604">
        <f>IF(ISNUMBER(ACT!K43),ACT!K43*1000000/AM$7,"")</f>
        <v>0</v>
      </c>
      <c r="AN49" s="605">
        <f>IF(ISNUMBER(ACT!L43),ACT!L43*1000000/AN$7,"")</f>
        <v>0</v>
      </c>
      <c r="AO49" s="606">
        <f>IF(ISNUMBER(NSW!K43),NSW!K43*1000000/AO$7,"")</f>
        <v>51.702162472889874</v>
      </c>
      <c r="AP49" s="606">
        <f>IF(ISNUMBER(NSW!L43),NSW!L43*1000000/AP$7,"")</f>
        <v>50.955148133832978</v>
      </c>
      <c r="AQ49" s="604" t="str">
        <f>IF(ISNUMBER(NT!K43),NT!K43*1000000/AQ$7,"")</f>
        <v/>
      </c>
      <c r="AR49" s="605">
        <f>IF(ISNUMBER(NT!L43),NT!L43*1000000/AR$7,"")</f>
        <v>0</v>
      </c>
      <c r="AS49" s="606" t="str">
        <f>IF(ISNUMBER(Qld!K43),Qld!K43*1000000/AS$7,"")</f>
        <v/>
      </c>
      <c r="AT49" s="606">
        <f>IF(ISNUMBER(Qld!L43),Qld!L43*1000000/AT$7,"")</f>
        <v>2394.8557770574316</v>
      </c>
      <c r="AU49" s="604" t="str">
        <f>IF(ISNUMBER(SA!K43),SA!K43*1000000/AU$7,"")</f>
        <v/>
      </c>
      <c r="AV49" s="605">
        <f>IF(ISNUMBER(SA!L43),SA!L43*1000000/AV$7,"")</f>
        <v>15.765382444888344</v>
      </c>
      <c r="AW49" s="606" t="str">
        <f>IF(ISNUMBER(TAS!K43),TAS!K43*1000000/AW$7,"")</f>
        <v/>
      </c>
      <c r="AX49" s="606" t="str">
        <f>IF(ISNUMBER(TAS!L43),TAS!L43*1000000/AX$7,"")</f>
        <v/>
      </c>
      <c r="AY49" s="604">
        <f>IF(ISNUMBER(Vic!K43),Vic!K43*1000000/AY$7,"")</f>
        <v>134.38164567959626</v>
      </c>
      <c r="AZ49" s="605">
        <f>IF(ISNUMBER(Vic!L43),Vic!L43*1000000/AZ$7,"")</f>
        <v>162.37678003654557</v>
      </c>
      <c r="BA49" s="606">
        <f>IF(ISNUMBER(WA!L43),WA!L43*1000000/BA$7,"")</f>
        <v>0</v>
      </c>
      <c r="BB49" s="606">
        <f>IF(ISNUMBER(WA!M43),WA!M43*1000000/BB$7,"")</f>
        <v>0</v>
      </c>
      <c r="BC49" s="787">
        <f t="shared" si="1"/>
        <v>255.45789962047135</v>
      </c>
      <c r="BE49" s="604">
        <v>0</v>
      </c>
      <c r="BF49" s="606">
        <v>2492.768986004211</v>
      </c>
      <c r="BG49" s="606">
        <f>SUM([2]NT!M43:N43)</f>
        <v>0</v>
      </c>
      <c r="BH49" s="606">
        <v>2734.6534531764883</v>
      </c>
      <c r="BI49" s="606">
        <v>4.3816515316111344</v>
      </c>
      <c r="BJ49" s="606">
        <v>13.033478765690818</v>
      </c>
      <c r="BK49" s="606">
        <v>185.8795095399135</v>
      </c>
      <c r="BL49" s="605"/>
    </row>
    <row r="50" spans="2:64">
      <c r="B50" s="902" t="s">
        <v>42</v>
      </c>
      <c r="C50" s="872" t="s">
        <v>154</v>
      </c>
      <c r="D50" s="597" t="s">
        <v>43</v>
      </c>
      <c r="E50" s="619" t="s">
        <v>110</v>
      </c>
      <c r="F50" s="157">
        <f>IF(ISNUMBER(ACT!K44),ACT!K44,"")</f>
        <v>14.23</v>
      </c>
      <c r="G50" s="589" t="s">
        <v>812</v>
      </c>
      <c r="H50" s="158">
        <f>IF(ISNUMBER(ACT!L44),ACT!L44,"")</f>
        <v>8.8800000000000008</v>
      </c>
      <c r="I50" s="588" t="s">
        <v>812</v>
      </c>
      <c r="J50" s="158">
        <f>IF(ISNUMBER(NSW!K44),NSW!K44,"")</f>
        <v>110.86030000000002</v>
      </c>
      <c r="K50" s="589" t="s">
        <v>812</v>
      </c>
      <c r="L50" s="158">
        <f>IF(ISNUMBER(NSW!L44),NSW!L44,"")</f>
        <v>347.69738599999999</v>
      </c>
      <c r="M50" s="588" t="s">
        <v>812</v>
      </c>
      <c r="N50" s="157" t="str">
        <f>IF(ISNUMBER(NT!K44),NT!K44,"")</f>
        <v/>
      </c>
      <c r="O50" s="589" t="s">
        <v>812</v>
      </c>
      <c r="P50" s="158">
        <f>IF(ISNUMBER(NT!L44),NT!L44,"")</f>
        <v>0</v>
      </c>
      <c r="Q50" s="588" t="s">
        <v>812</v>
      </c>
      <c r="R50" s="157" t="str">
        <f>IF(ISNUMBER(Qld!K44),Qld!K44,"")</f>
        <v/>
      </c>
      <c r="S50" s="589" t="s">
        <v>812</v>
      </c>
      <c r="T50" s="158">
        <f>IF(ISNUMBER(Qld!L44),Qld!L44,"")</f>
        <v>1567</v>
      </c>
      <c r="U50" s="588" t="s">
        <v>812</v>
      </c>
      <c r="V50" s="157" t="str">
        <f>IF(ISNUMBER(SA!K44),SA!K44,"")</f>
        <v/>
      </c>
      <c r="W50" s="589" t="s">
        <v>812</v>
      </c>
      <c r="X50" s="158">
        <f>IF(ISNUMBER(SA!L44),SA!L44,"")</f>
        <v>21.740000000000002</v>
      </c>
      <c r="Y50" s="588" t="s">
        <v>812</v>
      </c>
      <c r="Z50" s="157" t="str">
        <f>IF(ISNUMBER(TAS!K44),TAS!K44,"")</f>
        <v/>
      </c>
      <c r="AA50" s="589" t="s">
        <v>812</v>
      </c>
      <c r="AB50" s="158" t="str">
        <f>IF(ISNUMBER(TAS!L44),TAS!L44,"")</f>
        <v/>
      </c>
      <c r="AC50" s="588" t="s">
        <v>812</v>
      </c>
      <c r="AD50" s="157">
        <f>IF(ISNUMBER(Vic!K44),Vic!K44,"")</f>
        <v>354.30399999999992</v>
      </c>
      <c r="AE50" s="596" t="s">
        <v>812</v>
      </c>
      <c r="AF50" s="158">
        <f>IF(ISNUMBER(Vic!L44),Vic!L44,"")</f>
        <v>315.214</v>
      </c>
      <c r="AG50" s="593" t="s">
        <v>812</v>
      </c>
      <c r="AH50" s="157">
        <f>IF(ISNUMBER(WA!L44),WA!L44,"")</f>
        <v>0</v>
      </c>
      <c r="AI50" s="589" t="s">
        <v>812</v>
      </c>
      <c r="AJ50" s="158">
        <f>IF(ISNUMBER(WA!M44),WA!M44,"")</f>
        <v>0.42500000000000004</v>
      </c>
      <c r="AK50" s="588" t="s">
        <v>812</v>
      </c>
      <c r="AL50" s="768"/>
      <c r="AM50" s="599">
        <f>IF(ISNUMBER(ACT!K44),ACT!K44*1000000/AM$7,"")</f>
        <v>37.453774987826868</v>
      </c>
      <c r="AN50" s="600">
        <f>IF(ISNUMBER(ACT!L44),ACT!L44*1000000/AN$7,"")</f>
        <v>23.194826091044916</v>
      </c>
      <c r="AO50" s="601">
        <f>IF(ISNUMBER(NSW!K44),NSW!K44*1000000/AO$7,"")</f>
        <v>15.015934238892225</v>
      </c>
      <c r="AP50" s="601">
        <f>IF(ISNUMBER(NSW!L44),NSW!L44*1000000/AP$7,"")</f>
        <v>46.743729107499959</v>
      </c>
      <c r="AQ50" s="599" t="str">
        <f>IF(ISNUMBER(NT!K44),NT!K44*1000000/AQ$7,"")</f>
        <v/>
      </c>
      <c r="AR50" s="600">
        <f>IF(ISNUMBER(NT!L44),NT!L44*1000000/AR$7,"")</f>
        <v>0</v>
      </c>
      <c r="AS50" s="601" t="str">
        <f>IF(ISNUMBER(Qld!K44),Qld!K44*1000000/AS$7,"")</f>
        <v/>
      </c>
      <c r="AT50" s="601">
        <f>IF(ISNUMBER(Qld!L44),Qld!L44*1000000/AT$7,"")</f>
        <v>335.21563221518488</v>
      </c>
      <c r="AU50" s="599" t="str">
        <f>IF(ISNUMBER(SA!K44),SA!K44*1000000/AU$7,"")</f>
        <v/>
      </c>
      <c r="AV50" s="600">
        <f>IF(ISNUMBER(SA!L44),SA!L44*1000000/AV$7,"")</f>
        <v>12.98255357393457</v>
      </c>
      <c r="AW50" s="601" t="str">
        <f>IF(ISNUMBER(TAS!K44),TAS!K44*1000000/AW$7,"")</f>
        <v/>
      </c>
      <c r="AX50" s="601" t="str">
        <f>IF(ISNUMBER(TAS!L44),TAS!L44*1000000/AX$7,"")</f>
        <v/>
      </c>
      <c r="AY50" s="599">
        <f>IF(ISNUMBER(Vic!K44),Vic!K44*1000000/AY$7,"")</f>
        <v>61.9986074531529</v>
      </c>
      <c r="AZ50" s="600">
        <f>IF(ISNUMBER(Vic!L44),Vic!L44*1000000/AZ$7,"")</f>
        <v>54.647425339884258</v>
      </c>
      <c r="BA50" s="601">
        <f>IF(ISNUMBER(WA!L44),WA!L44*1000000/BA$7,"")</f>
        <v>0</v>
      </c>
      <c r="BB50" s="601">
        <f>IF(ISNUMBER(WA!M44),WA!M44*1000000/BB$7,"")</f>
        <v>0.16752379724811617</v>
      </c>
      <c r="BC50" s="616">
        <f t="shared" si="1"/>
        <v>53.401818800424437</v>
      </c>
      <c r="BE50" s="599">
        <v>1.4304883770925207</v>
      </c>
      <c r="BF50" s="601">
        <v>1003.0660907400967</v>
      </c>
      <c r="BG50" s="601">
        <f>SUM([2]NT!M44:N44)</f>
        <v>0</v>
      </c>
      <c r="BH50" s="601">
        <v>437.68461158394507</v>
      </c>
      <c r="BI50" s="601">
        <v>29.835943817517212</v>
      </c>
      <c r="BJ50" s="601"/>
      <c r="BK50" s="601">
        <v>82.831069373329342</v>
      </c>
      <c r="BL50" s="600">
        <v>451.92740834771894</v>
      </c>
    </row>
    <row r="51" spans="2:64">
      <c r="B51" s="903"/>
      <c r="C51" s="873"/>
      <c r="D51" s="602" t="s">
        <v>44</v>
      </c>
      <c r="E51" s="620" t="s">
        <v>111</v>
      </c>
      <c r="F51" s="154">
        <f>IF(ISNUMBER(ACT!K45),ACT!K45,"")</f>
        <v>0</v>
      </c>
      <c r="G51" s="591" t="s">
        <v>812</v>
      </c>
      <c r="H51" s="155">
        <f>IF(ISNUMBER(ACT!L45),ACT!L45,"")</f>
        <v>0</v>
      </c>
      <c r="I51" s="592" t="s">
        <v>812</v>
      </c>
      <c r="J51" s="155">
        <f>IF(ISNUMBER(NSW!K45),NSW!K45,"")</f>
        <v>1.5035000000000001</v>
      </c>
      <c r="K51" s="591" t="s">
        <v>812</v>
      </c>
      <c r="L51" s="155">
        <f>IF(ISNUMBER(NSW!L45),NSW!L45,"")</f>
        <v>5.0091800000000006</v>
      </c>
      <c r="M51" s="592" t="s">
        <v>812</v>
      </c>
      <c r="N51" s="154" t="str">
        <f>IF(ISNUMBER(NT!K45),NT!K45,"")</f>
        <v/>
      </c>
      <c r="O51" s="591" t="s">
        <v>812</v>
      </c>
      <c r="P51" s="155">
        <f>IF(ISNUMBER(NT!L45),NT!L45,"")</f>
        <v>0</v>
      </c>
      <c r="Q51" s="592" t="s">
        <v>812</v>
      </c>
      <c r="R51" s="154" t="str">
        <f>IF(ISNUMBER(Qld!K45),Qld!K45,"")</f>
        <v/>
      </c>
      <c r="S51" s="591" t="s">
        <v>812</v>
      </c>
      <c r="T51" s="155">
        <f>IF(ISNUMBER(Qld!L45),Qld!L45,"")</f>
        <v>51</v>
      </c>
      <c r="U51" s="592" t="s">
        <v>812</v>
      </c>
      <c r="V51" s="154" t="str">
        <f>IF(ISNUMBER(SA!K45),SA!K45,"")</f>
        <v/>
      </c>
      <c r="W51" s="591" t="s">
        <v>812</v>
      </c>
      <c r="X51" s="155">
        <f>IF(ISNUMBER(SA!L45),SA!L45,"")</f>
        <v>54.300000000000004</v>
      </c>
      <c r="Y51" s="592" t="s">
        <v>812</v>
      </c>
      <c r="Z51" s="154" t="str">
        <f>IF(ISNUMBER(TAS!K45),TAS!K45,"")</f>
        <v/>
      </c>
      <c r="AA51" s="591" t="s">
        <v>812</v>
      </c>
      <c r="AB51" s="155" t="str">
        <f>IF(ISNUMBER(TAS!L45),TAS!L45,"")</f>
        <v/>
      </c>
      <c r="AC51" s="592" t="s">
        <v>812</v>
      </c>
      <c r="AD51" s="154">
        <f>IF(ISNUMBER(Vic!K45),Vic!K45,"")</f>
        <v>5.2889999999999997</v>
      </c>
      <c r="AE51" s="595" t="s">
        <v>812</v>
      </c>
      <c r="AF51" s="155">
        <f>IF(ISNUMBER(Vic!L45),Vic!L45,"")</f>
        <v>8.0250000000000004</v>
      </c>
      <c r="AG51" s="594" t="s">
        <v>812</v>
      </c>
      <c r="AH51" s="154">
        <f>IF(ISNUMBER(WA!L45),WA!L45,"")</f>
        <v>237.43999999999997</v>
      </c>
      <c r="AI51" s="591" t="s">
        <v>812</v>
      </c>
      <c r="AJ51" s="155">
        <f>IF(ISNUMBER(WA!M45),WA!M45,"")</f>
        <v>313.04546999999997</v>
      </c>
      <c r="AK51" s="592" t="s">
        <v>812</v>
      </c>
      <c r="AL51" s="768"/>
      <c r="AM51" s="604">
        <f>IF(ISNUMBER(ACT!K45),ACT!K45*1000000/AM$7,"")</f>
        <v>0</v>
      </c>
      <c r="AN51" s="605">
        <f>IF(ISNUMBER(ACT!L45),ACT!L45*1000000/AN$7,"")</f>
        <v>0</v>
      </c>
      <c r="AO51" s="606">
        <f>IF(ISNUMBER(NSW!K45),NSW!K45*1000000/AO$7,"")</f>
        <v>0.20364780835136162</v>
      </c>
      <c r="AP51" s="606">
        <f>IF(ISNUMBER(NSW!L45),NSW!L45*1000000/AP$7,"")</f>
        <v>0.67342396692826068</v>
      </c>
      <c r="AQ51" s="604" t="str">
        <f>IF(ISNUMBER(NT!K45),NT!K45*1000000/AQ$7,"")</f>
        <v/>
      </c>
      <c r="AR51" s="605">
        <f>IF(ISNUMBER(NT!L45),NT!L45*1000000/AR$7,"")</f>
        <v>0</v>
      </c>
      <c r="AS51" s="606" t="str">
        <f>IF(ISNUMBER(Qld!K45),Qld!K45*1000000/AS$7,"")</f>
        <v/>
      </c>
      <c r="AT51" s="606">
        <f>IF(ISNUMBER(Qld!L45),Qld!L45*1000000/AT$7,"")</f>
        <v>10.910017385433587</v>
      </c>
      <c r="AU51" s="604" t="str">
        <f>IF(ISNUMBER(SA!K45),SA!K45*1000000/AU$7,"")</f>
        <v/>
      </c>
      <c r="AV51" s="605">
        <f>IF(ISNUMBER(SA!L45),SA!L45*1000000/AV$7,"")</f>
        <v>32.426525255963526</v>
      </c>
      <c r="AW51" s="606" t="str">
        <f>IF(ISNUMBER(TAS!K45),TAS!K45*1000000/AW$7,"")</f>
        <v/>
      </c>
      <c r="AX51" s="606" t="str">
        <f>IF(ISNUMBER(TAS!L45),TAS!L45*1000000/AX$7,"")</f>
        <v/>
      </c>
      <c r="AY51" s="604">
        <f>IF(ISNUMBER(Vic!K45),Vic!K45*1000000/AY$7,"")</f>
        <v>0.92550644311022656</v>
      </c>
      <c r="AZ51" s="605">
        <f>IF(ISNUMBER(Vic!L45),Vic!L45*1000000/AZ$7,"")</f>
        <v>1.3912630414657063</v>
      </c>
      <c r="BA51" s="606">
        <f>IF(ISNUMBER(WA!L45),WA!L45*1000000/BA$7,"")</f>
        <v>94.884341725892781</v>
      </c>
      <c r="BB51" s="606">
        <f>IF(ISNUMBER(WA!M45),WA!M45*1000000/BB$7,"")</f>
        <v>123.39427257816756</v>
      </c>
      <c r="BC51" s="617">
        <f t="shared" si="1"/>
        <v>24.07354529139209</v>
      </c>
      <c r="BE51" s="604">
        <v>0</v>
      </c>
      <c r="BF51" s="606">
        <v>61.515332144462782</v>
      </c>
      <c r="BG51" s="606">
        <f>SUM([2]NT!M45:N45)</f>
        <v>0</v>
      </c>
      <c r="BH51" s="606">
        <v>12.255169124350461</v>
      </c>
      <c r="BI51" s="606">
        <v>36.784080838164193</v>
      </c>
      <c r="BJ51" s="606"/>
      <c r="BK51" s="606">
        <v>2.6586786602316059</v>
      </c>
      <c r="BL51" s="605">
        <v>0.33652122464075224</v>
      </c>
    </row>
    <row r="52" spans="2:64">
      <c r="B52" s="904"/>
      <c r="C52" s="874"/>
      <c r="D52" s="614" t="s">
        <v>45</v>
      </c>
      <c r="E52" s="622" t="s">
        <v>155</v>
      </c>
      <c r="F52" s="774">
        <f>IF(ISNUMBER(ACT!K46),ACT!K46,"")</f>
        <v>0</v>
      </c>
      <c r="G52" s="770" t="s">
        <v>812</v>
      </c>
      <c r="H52" s="769">
        <f>IF(ISNUMBER(ACT!L46),ACT!L46,"")</f>
        <v>0</v>
      </c>
      <c r="I52" s="771" t="s">
        <v>812</v>
      </c>
      <c r="J52" s="769">
        <f>IF(ISNUMBER(NSW!K46),NSW!K46,"")</f>
        <v>6.28</v>
      </c>
      <c r="K52" s="770" t="s">
        <v>812</v>
      </c>
      <c r="L52" s="769">
        <f>IF(ISNUMBER(NSW!L46),NSW!L46,"")</f>
        <v>2.52</v>
      </c>
      <c r="M52" s="771" t="s">
        <v>812</v>
      </c>
      <c r="N52" s="774" t="str">
        <f>IF(ISNUMBER(NT!K46),NT!K46,"")</f>
        <v/>
      </c>
      <c r="O52" s="770" t="s">
        <v>812</v>
      </c>
      <c r="P52" s="769">
        <f>IF(ISNUMBER(NT!L46),NT!L46,"")</f>
        <v>0</v>
      </c>
      <c r="Q52" s="771" t="s">
        <v>812</v>
      </c>
      <c r="R52" s="774" t="str">
        <f>IF(ISNUMBER(Qld!K46),Qld!K46,"")</f>
        <v/>
      </c>
      <c r="S52" s="770" t="s">
        <v>812</v>
      </c>
      <c r="T52" s="769">
        <f>IF(ISNUMBER(Qld!L46),Qld!L46,"")</f>
        <v>206</v>
      </c>
      <c r="U52" s="771" t="s">
        <v>812</v>
      </c>
      <c r="V52" s="774" t="str">
        <f>IF(ISNUMBER(SA!K46),SA!K46,"")</f>
        <v/>
      </c>
      <c r="W52" s="770" t="s">
        <v>812</v>
      </c>
      <c r="X52" s="769">
        <f>IF(ISNUMBER(SA!L46),SA!L46,"")</f>
        <v>303.71999999999997</v>
      </c>
      <c r="Y52" s="771" t="s">
        <v>812</v>
      </c>
      <c r="Z52" s="774" t="str">
        <f>IF(ISNUMBER(TAS!K46),TAS!K46,"")</f>
        <v/>
      </c>
      <c r="AA52" s="770" t="s">
        <v>812</v>
      </c>
      <c r="AB52" s="769" t="str">
        <f>IF(ISNUMBER(TAS!L46),TAS!L46,"")</f>
        <v/>
      </c>
      <c r="AC52" s="771" t="s">
        <v>812</v>
      </c>
      <c r="AD52" s="774">
        <f>IF(ISNUMBER(Vic!K46),Vic!K46,"")</f>
        <v>3.3939999999999997</v>
      </c>
      <c r="AE52" s="772" t="s">
        <v>812</v>
      </c>
      <c r="AF52" s="769">
        <f>IF(ISNUMBER(Vic!L46),Vic!L46,"")</f>
        <v>28.060000000000002</v>
      </c>
      <c r="AG52" s="773" t="s">
        <v>812</v>
      </c>
      <c r="AH52" s="774">
        <f>IF(ISNUMBER(WA!L46),WA!L46,"")</f>
        <v>14.77</v>
      </c>
      <c r="AI52" s="770" t="s">
        <v>812</v>
      </c>
      <c r="AJ52" s="769">
        <f>IF(ISNUMBER(WA!M46),WA!M46,"")</f>
        <v>4.84</v>
      </c>
      <c r="AK52" s="771" t="s">
        <v>812</v>
      </c>
      <c r="AL52" s="768"/>
      <c r="AM52" s="788">
        <f>IF(ISNUMBER(ACT!K46),ACT!K46*1000000/AM$7,"")</f>
        <v>0</v>
      </c>
      <c r="AN52" s="790">
        <f>IF(ISNUMBER(ACT!L46),ACT!L46*1000000/AN$7,"")</f>
        <v>0</v>
      </c>
      <c r="AO52" s="777">
        <f>IF(ISNUMBER(NSW!K46),NSW!K46*1000000/AO$7,"")</f>
        <v>0.85062070930931222</v>
      </c>
      <c r="AP52" s="777">
        <f>IF(ISNUMBER(NSW!L46),NSW!L46*1000000/AP$7,"")</f>
        <v>0.33878367250911656</v>
      </c>
      <c r="AQ52" s="788" t="str">
        <f>IF(ISNUMBER(NT!K46),NT!K46*1000000/AQ$7,"")</f>
        <v/>
      </c>
      <c r="AR52" s="790">
        <f>IF(ISNUMBER(NT!L46),NT!L46*1000000/AR$7,"")</f>
        <v>0</v>
      </c>
      <c r="AS52" s="777" t="str">
        <f>IF(ISNUMBER(Qld!K46),Qld!K46*1000000/AS$7,"")</f>
        <v/>
      </c>
      <c r="AT52" s="777">
        <f>IF(ISNUMBER(Qld!L46),Qld!L46*1000000/AT$7,"")</f>
        <v>44.067913360770959</v>
      </c>
      <c r="AU52" s="788" t="str">
        <f>IF(ISNUMBER(SA!K46),SA!K46*1000000/AU$7,"")</f>
        <v/>
      </c>
      <c r="AV52" s="790">
        <f>IF(ISNUMBER(SA!L46),SA!L46*1000000/AV$7,"")</f>
        <v>181.37355894551089</v>
      </c>
      <c r="AW52" s="777" t="str">
        <f>IF(ISNUMBER(TAS!K46),TAS!K46*1000000/AW$7,"")</f>
        <v/>
      </c>
      <c r="AX52" s="777" t="str">
        <f>IF(ISNUMBER(TAS!L46),TAS!L46*1000000/AX$7,"")</f>
        <v/>
      </c>
      <c r="AY52" s="788">
        <f>IF(ISNUMBER(Vic!K46),Vic!K46*1000000/AY$7,"")</f>
        <v>0.59390600641257496</v>
      </c>
      <c r="AZ52" s="790">
        <f>IF(ISNUMBER(Vic!L46),Vic!L46*1000000/AZ$7,"")</f>
        <v>4.864653077075106</v>
      </c>
      <c r="BA52" s="777">
        <f>IF(ISNUMBER(WA!L46),WA!L46*1000000/BA$7,"")</f>
        <v>5.9022983797651465</v>
      </c>
      <c r="BB52" s="777">
        <f>IF(ISNUMBER(WA!M46),WA!M46*1000000/BB$7,"")</f>
        <v>1.9078004204256049</v>
      </c>
      <c r="BC52" s="787">
        <f t="shared" si="1"/>
        <v>21.809048597434426</v>
      </c>
      <c r="BE52" s="788">
        <v>0</v>
      </c>
      <c r="BF52" s="777">
        <v>38.983538111914761</v>
      </c>
      <c r="BG52" s="777">
        <f>SUM([2]NT!M46:N46)</f>
        <v>0</v>
      </c>
      <c r="BH52" s="777">
        <v>53.397522613241293</v>
      </c>
      <c r="BI52" s="777">
        <v>89.480203192194367</v>
      </c>
      <c r="BJ52" s="777"/>
      <c r="BK52" s="777">
        <v>0</v>
      </c>
      <c r="BL52" s="790">
        <v>10.147244137562613</v>
      </c>
    </row>
    <row r="53" spans="2:64">
      <c r="B53" s="902" t="s">
        <v>46</v>
      </c>
      <c r="C53" s="872" t="s">
        <v>156</v>
      </c>
      <c r="D53" s="602" t="s">
        <v>47</v>
      </c>
      <c r="E53" s="620" t="s">
        <v>112</v>
      </c>
      <c r="F53" s="157">
        <f>IF(ISNUMBER(ACT!K47),ACT!K47,"")</f>
        <v>724</v>
      </c>
      <c r="G53" s="589" t="s">
        <v>812</v>
      </c>
      <c r="H53" s="158">
        <f>IF(ISNUMBER(ACT!L47),ACT!L47,"")</f>
        <v>786</v>
      </c>
      <c r="I53" s="588" t="s">
        <v>812</v>
      </c>
      <c r="J53" s="158">
        <f>IF(ISNUMBER(NSW!K47),NSW!K47,"")</f>
        <v>15183.534470000024</v>
      </c>
      <c r="K53" s="589" t="s">
        <v>812</v>
      </c>
      <c r="L53" s="158">
        <f>IF(ISNUMBER(NSW!L47),NSW!L47,"")</f>
        <v>14265.096328000029</v>
      </c>
      <c r="M53" s="588" t="s">
        <v>812</v>
      </c>
      <c r="N53" s="157" t="str">
        <f>IF(ISNUMBER(NT!K47),NT!K47,"")</f>
        <v/>
      </c>
      <c r="O53" s="589" t="s">
        <v>812</v>
      </c>
      <c r="P53" s="158">
        <f>IF(ISNUMBER(NT!L47),NT!L47,"")</f>
        <v>1392.4515397412958</v>
      </c>
      <c r="Q53" s="588" t="s">
        <v>812</v>
      </c>
      <c r="R53" s="157" t="str">
        <f>IF(ISNUMBER(Qld!K47),Qld!K47,"")</f>
        <v/>
      </c>
      <c r="S53" s="589" t="s">
        <v>812</v>
      </c>
      <c r="T53" s="158">
        <f>IF(ISNUMBER(Qld!L47),Qld!L47,"")</f>
        <v>72504</v>
      </c>
      <c r="U53" s="588" t="s">
        <v>812</v>
      </c>
      <c r="V53" s="157" t="str">
        <f>IF(ISNUMBER(SA!K47),SA!K47,"")</f>
        <v/>
      </c>
      <c r="W53" s="589" t="s">
        <v>812</v>
      </c>
      <c r="X53" s="158">
        <f>IF(ISNUMBER(SA!L47),SA!L47,"")</f>
        <v>1266.71</v>
      </c>
      <c r="Y53" s="588" t="s">
        <v>812</v>
      </c>
      <c r="Z53" s="157" t="str">
        <f>IF(ISNUMBER(TAS!K47),TAS!K47,"")</f>
        <v/>
      </c>
      <c r="AA53" s="589" t="s">
        <v>812</v>
      </c>
      <c r="AB53" s="158">
        <f>IF(ISNUMBER(TAS!L47),TAS!L47,"")</f>
        <v>64.180000000000007</v>
      </c>
      <c r="AC53" s="588" t="s">
        <v>812</v>
      </c>
      <c r="AD53" s="157">
        <f>IF(ISNUMBER(Vic!K47),Vic!K47,"")</f>
        <v>11121.943999999994</v>
      </c>
      <c r="AE53" s="596" t="s">
        <v>812</v>
      </c>
      <c r="AF53" s="158">
        <f>IF(ISNUMBER(Vic!L47),Vic!L47,"")</f>
        <v>12291.027</v>
      </c>
      <c r="AG53" s="593" t="s">
        <v>812</v>
      </c>
      <c r="AH53" s="157">
        <f>IF(ISNUMBER(WA!L47),WA!L47,"")</f>
        <v>57789.872160000567</v>
      </c>
      <c r="AI53" s="589" t="s">
        <v>812</v>
      </c>
      <c r="AJ53" s="158">
        <f>IF(ISNUMBER(WA!M47),WA!M47,"")</f>
        <v>53305.720225000397</v>
      </c>
      <c r="AK53" s="588" t="s">
        <v>812</v>
      </c>
      <c r="AL53" s="768"/>
      <c r="AM53" s="604">
        <f>IF(ISNUMBER(ACT!K47),ACT!K47*1000000/AM$7,"")</f>
        <v>1905.5891139273824</v>
      </c>
      <c r="AN53" s="605">
        <f>IF(ISNUMBER(ACT!L47),ACT!L47*1000000/AN$7,"")</f>
        <v>2053.0555526532999</v>
      </c>
      <c r="AO53" s="606">
        <f>IF(ISNUMBER(NSW!K47),NSW!K47*1000000/AO$7,"")</f>
        <v>2056.5969523397794</v>
      </c>
      <c r="AP53" s="606">
        <f>IF(ISNUMBER(NSW!L47),NSW!L47*1000000/AP$7,"")</f>
        <v>1917.7705248794298</v>
      </c>
      <c r="AQ53" s="604" t="str">
        <f>IF(ISNUMBER(NT!K47),NT!K47*1000000/AQ$7,"")</f>
        <v/>
      </c>
      <c r="AR53" s="605">
        <f>IF(ISNUMBER(NT!L47),NT!L47*1000000/AR$7,"")</f>
        <v>5748.8957596704367</v>
      </c>
      <c r="AS53" s="606" t="str">
        <f>IF(ISNUMBER(Qld!K47),Qld!K47*1000000/AS$7,"")</f>
        <v/>
      </c>
      <c r="AT53" s="606">
        <f>IF(ISNUMBER(Qld!L47),Qld!L47*1000000/AT$7,"")</f>
        <v>15510.194127715231</v>
      </c>
      <c r="AU53" s="604" t="str">
        <f>IF(ISNUMBER(SA!K47),SA!K47*1000000/AU$7,"")</f>
        <v/>
      </c>
      <c r="AV53" s="605">
        <f>IF(ISNUMBER(SA!L47),SA!L47*1000000/AV$7,"")</f>
        <v>756.4457423016861</v>
      </c>
      <c r="AW53" s="606" t="str">
        <f>IF(ISNUMBER(TAS!K47),TAS!K47*1000000/AW$7,"")</f>
        <v/>
      </c>
      <c r="AX53" s="606">
        <f>IF(ISNUMBER(TAS!L47),TAS!L47*1000000/AX$7,"")</f>
        <v>125.00973899493573</v>
      </c>
      <c r="AY53" s="604">
        <f>IF(ISNUMBER(Vic!K47),Vic!K47*1000000/AY$7,"")</f>
        <v>1946.1960355286672</v>
      </c>
      <c r="AZ53" s="605">
        <f>IF(ISNUMBER(Vic!L47),Vic!L47*1000000/AZ$7,"")</f>
        <v>2130.8475522438775</v>
      </c>
      <c r="BA53" s="606">
        <f>IF(ISNUMBER(WA!L47),WA!L47*1000000/BA$7,"")</f>
        <v>23093.640407366711</v>
      </c>
      <c r="BB53" s="606">
        <f>IF(ISNUMBER(WA!M47),WA!M47*1000000/BB$7,"")</f>
        <v>21011.709805030048</v>
      </c>
      <c r="BC53" s="616">
        <f t="shared" si="1"/>
        <v>6521.3292760542899</v>
      </c>
      <c r="BE53" s="604">
        <v>3363.7950832460856</v>
      </c>
      <c r="BF53" s="606">
        <v>356986.19867637416</v>
      </c>
      <c r="BG53" s="606">
        <f>SUM([2]NT!M47:N47)</f>
        <v>582.73</v>
      </c>
      <c r="BH53" s="606">
        <v>19153.953972136602</v>
      </c>
      <c r="BI53" s="606">
        <v>693.31019055795105</v>
      </c>
      <c r="BJ53" s="606"/>
      <c r="BK53" s="606">
        <v>3408.0515358571693</v>
      </c>
      <c r="BL53" s="605">
        <v>41897.697715236747</v>
      </c>
    </row>
    <row r="54" spans="2:64">
      <c r="B54" s="903"/>
      <c r="C54" s="873"/>
      <c r="D54" s="602" t="s">
        <v>48</v>
      </c>
      <c r="E54" s="620" t="s">
        <v>157</v>
      </c>
      <c r="F54" s="154">
        <f>IF(ISNUMBER(ACT!K48),ACT!K48,"")</f>
        <v>489.76</v>
      </c>
      <c r="G54" s="591" t="s">
        <v>812</v>
      </c>
      <c r="H54" s="155">
        <f>IF(ISNUMBER(ACT!L48),ACT!L48,"")</f>
        <v>1064</v>
      </c>
      <c r="I54" s="592" t="s">
        <v>812</v>
      </c>
      <c r="J54" s="155">
        <f>IF(ISNUMBER(NSW!K48),NSW!K48,"")</f>
        <v>48258.045390000181</v>
      </c>
      <c r="K54" s="591" t="s">
        <v>812</v>
      </c>
      <c r="L54" s="155">
        <f>IF(ISNUMBER(NSW!L48),NSW!L48,"")</f>
        <v>49222.57785800015</v>
      </c>
      <c r="M54" s="592" t="s">
        <v>812</v>
      </c>
      <c r="N54" s="154" t="str">
        <f>IF(ISNUMBER(NT!K48),NT!K48,"")</f>
        <v/>
      </c>
      <c r="O54" s="591" t="s">
        <v>812</v>
      </c>
      <c r="P54" s="155">
        <f>IF(ISNUMBER(NT!L48),NT!L48,"")</f>
        <v>489.23262616757836</v>
      </c>
      <c r="Q54" s="592" t="s">
        <v>812</v>
      </c>
      <c r="R54" s="154" t="str">
        <f>IF(ISNUMBER(Qld!K48),Qld!K48,"")</f>
        <v/>
      </c>
      <c r="S54" s="591" t="s">
        <v>812</v>
      </c>
      <c r="T54" s="155">
        <f>IF(ISNUMBER(Qld!L48),Qld!L48,"")</f>
        <v>195079</v>
      </c>
      <c r="U54" s="592" t="s">
        <v>812</v>
      </c>
      <c r="V54" s="154" t="str">
        <f>IF(ISNUMBER(SA!K48),SA!K48,"")</f>
        <v/>
      </c>
      <c r="W54" s="591" t="s">
        <v>812</v>
      </c>
      <c r="X54" s="155">
        <f>IF(ISNUMBER(SA!L48),SA!L48,"")</f>
        <v>3902.77</v>
      </c>
      <c r="Y54" s="592" t="s">
        <v>812</v>
      </c>
      <c r="Z54" s="154" t="str">
        <f>IF(ISNUMBER(TAS!K48),TAS!K48,"")</f>
        <v/>
      </c>
      <c r="AA54" s="591" t="s">
        <v>812</v>
      </c>
      <c r="AB54" s="155">
        <f>IF(ISNUMBER(TAS!L48),TAS!L48,"")</f>
        <v>18.600000000000001</v>
      </c>
      <c r="AC54" s="592" t="s">
        <v>812</v>
      </c>
      <c r="AD54" s="154">
        <f>IF(ISNUMBER(Vic!K48),Vic!K48,"")</f>
        <v>35063.442000000046</v>
      </c>
      <c r="AE54" s="595" t="s">
        <v>812</v>
      </c>
      <c r="AF54" s="155">
        <f>IF(ISNUMBER(Vic!L48),Vic!L48,"")</f>
        <v>28802.170999999998</v>
      </c>
      <c r="AG54" s="594" t="s">
        <v>812</v>
      </c>
      <c r="AH54" s="154">
        <f>IF(ISNUMBER(WA!L48),WA!L48,"")</f>
        <v>28880.840400000434</v>
      </c>
      <c r="AI54" s="591" t="s">
        <v>812</v>
      </c>
      <c r="AJ54" s="155">
        <f>IF(ISNUMBER(WA!M48),WA!M48,"")</f>
        <v>25207.14299999996</v>
      </c>
      <c r="AK54" s="592" t="s">
        <v>812</v>
      </c>
      <c r="AL54" s="768"/>
      <c r="AM54" s="604">
        <f>IF(ISNUMBER(ACT!K48),ACT!K48*1000000/AM$7,"")</f>
        <v>1289.0626028136392</v>
      </c>
      <c r="AN54" s="605">
        <f>IF(ISNUMBER(ACT!L48),ACT!L48*1000000/AN$7,"")</f>
        <v>2779.1998829810577</v>
      </c>
      <c r="AO54" s="606">
        <f>IF(ISNUMBER(NSW!K48),NSW!K48*1000000/AO$7,"")</f>
        <v>6536.5115922807236</v>
      </c>
      <c r="AP54" s="606">
        <f>IF(ISNUMBER(NSW!L48),NSW!L48*1000000/AP$7,"")</f>
        <v>6617.3832131346098</v>
      </c>
      <c r="AQ54" s="604" t="str">
        <f>IF(ISNUMBER(NT!K48),NT!K48*1000000/AQ$7,"")</f>
        <v/>
      </c>
      <c r="AR54" s="605">
        <f>IF(ISNUMBER(NT!L48),NT!L48*1000000/AR$7,"")</f>
        <v>2019.8529642114277</v>
      </c>
      <c r="AS54" s="606" t="str">
        <f>IF(ISNUMBER(Qld!K48),Qld!K48*1000000/AS$7,"")</f>
        <v/>
      </c>
      <c r="AT54" s="606">
        <f>IF(ISNUMBER(Qld!L48),Qld!L48*1000000/AT$7,"")</f>
        <v>41731.67218692154</v>
      </c>
      <c r="AU54" s="604" t="str">
        <f>IF(ISNUMBER(SA!K48),SA!K48*1000000/AU$7,"")</f>
        <v/>
      </c>
      <c r="AV54" s="605">
        <f>IF(ISNUMBER(SA!L48),SA!L48*1000000/AV$7,"")</f>
        <v>2330.6311228953364</v>
      </c>
      <c r="AW54" s="606" t="str">
        <f>IF(ISNUMBER(TAS!K48),TAS!K48*1000000/AW$7,"")</f>
        <v/>
      </c>
      <c r="AX54" s="606">
        <f>IF(ISNUMBER(TAS!L48),TAS!L48*1000000/AX$7,"")</f>
        <v>36.229061160888193</v>
      </c>
      <c r="AY54" s="604">
        <f>IF(ISNUMBER(Vic!K48),Vic!K48*1000000/AY$7,"")</f>
        <v>6135.6478518853792</v>
      </c>
      <c r="AZ54" s="605">
        <f>IF(ISNUMBER(Vic!L48),Vic!L48*1000000/AZ$7,"")</f>
        <v>4993.3203771059652</v>
      </c>
      <c r="BA54" s="606">
        <f>IF(ISNUMBER(WA!L48),WA!L48*1000000/BA$7,"")</f>
        <v>11541.187372997858</v>
      </c>
      <c r="BB54" s="606">
        <f>IF(ISNUMBER(WA!M48),WA!M48*1000000/BB$7,"")</f>
        <v>9935.9913250265035</v>
      </c>
      <c r="BC54" s="617">
        <f t="shared" si="1"/>
        <v>7995.5574627845772</v>
      </c>
      <c r="BE54" s="604">
        <v>5269.5288883477187</v>
      </c>
      <c r="BF54" s="606">
        <v>283260.56981832348</v>
      </c>
      <c r="BG54" s="606">
        <f>SUM([2]NT!M48:N48)</f>
        <v>204.74</v>
      </c>
      <c r="BH54" s="606">
        <v>37071.886601160149</v>
      </c>
      <c r="BI54" s="606">
        <v>1534.7560320883131</v>
      </c>
      <c r="BJ54" s="606">
        <v>29.903913417837146</v>
      </c>
      <c r="BK54" s="606">
        <v>14068.923176218348</v>
      </c>
      <c r="BL54" s="605">
        <v>21062.574936793284</v>
      </c>
    </row>
    <row r="55" spans="2:64">
      <c r="B55" s="904"/>
      <c r="C55" s="874"/>
      <c r="D55" s="602" t="s">
        <v>49</v>
      </c>
      <c r="E55" s="620" t="s">
        <v>158</v>
      </c>
      <c r="F55" s="774">
        <f>IF(ISNUMBER(ACT!K49),ACT!K49,"")</f>
        <v>0</v>
      </c>
      <c r="G55" s="770" t="s">
        <v>812</v>
      </c>
      <c r="H55" s="769">
        <f>IF(ISNUMBER(ACT!L49),ACT!L49,"")</f>
        <v>0</v>
      </c>
      <c r="I55" s="771" t="s">
        <v>812</v>
      </c>
      <c r="J55" s="769">
        <f>IF(ISNUMBER(NSW!K49),NSW!K49,"")</f>
        <v>638.46699999999998</v>
      </c>
      <c r="K55" s="770" t="s">
        <v>812</v>
      </c>
      <c r="L55" s="769">
        <f>IF(ISNUMBER(NSW!L49),NSW!L49,"")</f>
        <v>7973.1199999999981</v>
      </c>
      <c r="M55" s="771" t="s">
        <v>812</v>
      </c>
      <c r="N55" s="774" t="str">
        <f>IF(ISNUMBER(NT!K49),NT!K49,"")</f>
        <v/>
      </c>
      <c r="O55" s="770" t="s">
        <v>812</v>
      </c>
      <c r="P55" s="769">
        <f>IF(ISNUMBER(NT!L49),NT!L49,"")</f>
        <v>18.853401487067462</v>
      </c>
      <c r="Q55" s="771" t="s">
        <v>812</v>
      </c>
      <c r="R55" s="774" t="str">
        <f>IF(ISNUMBER(Qld!K49),Qld!K49,"")</f>
        <v/>
      </c>
      <c r="S55" s="770" t="s">
        <v>812</v>
      </c>
      <c r="T55" s="769">
        <f>IF(ISNUMBER(Qld!L49),Qld!L49,"")</f>
        <v>178</v>
      </c>
      <c r="U55" s="771" t="s">
        <v>812</v>
      </c>
      <c r="V55" s="774" t="str">
        <f>IF(ISNUMBER(SA!K49),SA!K49,"")</f>
        <v/>
      </c>
      <c r="W55" s="770" t="s">
        <v>812</v>
      </c>
      <c r="X55" s="769">
        <f>IF(ISNUMBER(SA!L49),SA!L49,"")</f>
        <v>18628.3</v>
      </c>
      <c r="Y55" s="771" t="s">
        <v>812</v>
      </c>
      <c r="Z55" s="774" t="str">
        <f>IF(ISNUMBER(TAS!K49),TAS!K49,"")</f>
        <v/>
      </c>
      <c r="AA55" s="770" t="s">
        <v>812</v>
      </c>
      <c r="AB55" s="769">
        <f>IF(ISNUMBER(TAS!L49),TAS!L49,"")</f>
        <v>292</v>
      </c>
      <c r="AC55" s="771" t="s">
        <v>812</v>
      </c>
      <c r="AD55" s="774">
        <f>IF(ISNUMBER(Vic!K49),Vic!K49,"")</f>
        <v>64.385999999999996</v>
      </c>
      <c r="AE55" s="772" t="s">
        <v>812</v>
      </c>
      <c r="AF55" s="769">
        <f>IF(ISNUMBER(Vic!L49),Vic!L49,"")</f>
        <v>67.33</v>
      </c>
      <c r="AG55" s="773" t="s">
        <v>812</v>
      </c>
      <c r="AH55" s="774">
        <f>IF(ISNUMBER(WA!L49),WA!L49,"")</f>
        <v>1.5149999999999999</v>
      </c>
      <c r="AI55" s="770" t="s">
        <v>812</v>
      </c>
      <c r="AJ55" s="769">
        <f>IF(ISNUMBER(WA!M49),WA!M49,"")</f>
        <v>10.535</v>
      </c>
      <c r="AK55" s="771" t="s">
        <v>812</v>
      </c>
      <c r="AL55" s="768"/>
      <c r="AM55" s="604">
        <f>IF(ISNUMBER(ACT!K49),ACT!K49*1000000/AM$7,"")</f>
        <v>0</v>
      </c>
      <c r="AN55" s="605">
        <f>IF(ISNUMBER(ACT!L49),ACT!L49*1000000/AN$7,"")</f>
        <v>0</v>
      </c>
      <c r="AO55" s="606">
        <f>IF(ISNUMBER(NSW!K49),NSW!K49*1000000/AO$7,"")</f>
        <v>86.479817262832583</v>
      </c>
      <c r="AP55" s="606">
        <f>IF(ISNUMBER(NSW!L49),NSW!L49*1000000/AP$7,"")</f>
        <v>1071.8900297443995</v>
      </c>
      <c r="AQ55" s="604" t="str">
        <f>IF(ISNUMBER(NT!K49),NT!K49*1000000/AQ$7,"")</f>
        <v/>
      </c>
      <c r="AR55" s="605">
        <f>IF(ISNUMBER(NT!L49),NT!L49*1000000/AR$7,"")</f>
        <v>77.83842867846127</v>
      </c>
      <c r="AS55" s="606" t="str">
        <f>IF(ISNUMBER(Qld!K49),Qld!K49*1000000/AS$7,"")</f>
        <v/>
      </c>
      <c r="AT55" s="606">
        <f>IF(ISNUMBER(Qld!L49),Qld!L49*1000000/AT$7,"")</f>
        <v>38.078099894258401</v>
      </c>
      <c r="AU55" s="604" t="str">
        <f>IF(ISNUMBER(SA!K49),SA!K49*1000000/AU$7,"")</f>
        <v/>
      </c>
      <c r="AV55" s="605">
        <f>IF(ISNUMBER(SA!L49),SA!L49*1000000/AV$7,"")</f>
        <v>11124.328552958847</v>
      </c>
      <c r="AW55" s="606" t="str">
        <f>IF(ISNUMBER(TAS!K49),TAS!K49*1000000/AW$7,"")</f>
        <v/>
      </c>
      <c r="AX55" s="606">
        <f>IF(ISNUMBER(TAS!L49),TAS!L49*1000000/AX$7,"")</f>
        <v>568.75730424620178</v>
      </c>
      <c r="AY55" s="604">
        <f>IF(ISNUMBER(Vic!K49),Vic!K49*1000000/AY$7,"")</f>
        <v>11.266715418055407</v>
      </c>
      <c r="AZ55" s="605">
        <f>IF(ISNUMBER(Vic!L49),Vic!L49*1000000/AZ$7,"")</f>
        <v>11.672740259425048</v>
      </c>
      <c r="BA55" s="606">
        <f>IF(ISNUMBER(WA!L49),WA!L49*1000000/BA$7,"")</f>
        <v>0.60541516894679737</v>
      </c>
      <c r="BB55" s="606">
        <f>IF(ISNUMBER(WA!M49),WA!M49*1000000/BB$7,"")</f>
        <v>4.1526193035503614</v>
      </c>
      <c r="BC55" s="787">
        <f t="shared" si="1"/>
        <v>1082.9224769112482</v>
      </c>
      <c r="BE55" s="604">
        <v>0</v>
      </c>
      <c r="BF55" s="606">
        <v>696.16181050239732</v>
      </c>
      <c r="BG55" s="606">
        <f>SUM([2]NT!M49:N49)</f>
        <v>7.89</v>
      </c>
      <c r="BH55" s="606">
        <v>112.92262978865782</v>
      </c>
      <c r="BI55" s="606">
        <v>27.515255966142021</v>
      </c>
      <c r="BJ55" s="606">
        <v>84.355185945943987</v>
      </c>
      <c r="BK55" s="606">
        <v>121.42535620736251</v>
      </c>
      <c r="BL55" s="605">
        <v>27.377513559989886</v>
      </c>
    </row>
    <row r="56" spans="2:64">
      <c r="B56" s="902" t="s">
        <v>50</v>
      </c>
      <c r="C56" s="872" t="s">
        <v>159</v>
      </c>
      <c r="D56" s="597" t="s">
        <v>51</v>
      </c>
      <c r="E56" s="619" t="s">
        <v>113</v>
      </c>
      <c r="F56" s="157">
        <f>IF(ISNUMBER(ACT!K50),ACT!K50,"")</f>
        <v>0</v>
      </c>
      <c r="G56" s="589" t="s">
        <v>812</v>
      </c>
      <c r="H56" s="158">
        <f>IF(ISNUMBER(ACT!L50),ACT!L50,"")</f>
        <v>0</v>
      </c>
      <c r="I56" s="588" t="s">
        <v>812</v>
      </c>
      <c r="J56" s="158">
        <f>IF(ISNUMBER(NSW!K50),NSW!K50,"")</f>
        <v>0</v>
      </c>
      <c r="K56" s="741"/>
      <c r="L56" s="158">
        <f>IF(ISNUMBER(NSW!L50),NSW!L50,"")</f>
        <v>0</v>
      </c>
      <c r="M56" s="741"/>
      <c r="N56" s="157" t="str">
        <f>IF(ISNUMBER(NT!K50),NT!K50,"")</f>
        <v/>
      </c>
      <c r="O56" s="741"/>
      <c r="P56" s="158">
        <f>IF(ISNUMBER(NT!L50),NT!L50,"")</f>
        <v>0</v>
      </c>
      <c r="Q56" s="741"/>
      <c r="R56" s="157" t="str">
        <f>IF(ISNUMBER(Qld!K50),Qld!K50,"")</f>
        <v/>
      </c>
      <c r="S56" s="589" t="s">
        <v>812</v>
      </c>
      <c r="T56" s="158">
        <f>IF(ISNUMBER(Qld!L50),Qld!L50,"")</f>
        <v>122074</v>
      </c>
      <c r="U56" s="588" t="s">
        <v>812</v>
      </c>
      <c r="V56" s="157" t="str">
        <f>IF(ISNUMBER(SA!K50),SA!K50,"")</f>
        <v/>
      </c>
      <c r="W56" s="741"/>
      <c r="X56" s="158">
        <f>IF(ISNUMBER(SA!L50),SA!L50,"")</f>
        <v>9541.92</v>
      </c>
      <c r="Y56" s="741"/>
      <c r="Z56" s="157" t="str">
        <f>IF(ISNUMBER(TAS!K50),TAS!K50,"")</f>
        <v/>
      </c>
      <c r="AA56" s="741"/>
      <c r="AB56" s="158" t="str">
        <f>IF(ISNUMBER(TAS!L50),TAS!L50,"")</f>
        <v/>
      </c>
      <c r="AC56" s="741"/>
      <c r="AD56" s="157">
        <f>IF(ISNUMBER(Vic!K50),Vic!K50,"")</f>
        <v>19382.513000000006</v>
      </c>
      <c r="AE56" s="596" t="s">
        <v>812</v>
      </c>
      <c r="AF56" s="158">
        <f>IF(ISNUMBER(Vic!L50),Vic!L50,"")</f>
        <v>21108.399999999994</v>
      </c>
      <c r="AG56" s="593" t="s">
        <v>812</v>
      </c>
      <c r="AH56" s="157">
        <f>IF(ISNUMBER(WA!L50),WA!L50,"")</f>
        <v>8857.27</v>
      </c>
      <c r="AI56" s="589" t="s">
        <v>812</v>
      </c>
      <c r="AJ56" s="158">
        <f>IF(ISNUMBER(WA!M50),WA!M50,"")</f>
        <v>8873.1315000000068</v>
      </c>
      <c r="AK56" s="588" t="s">
        <v>812</v>
      </c>
      <c r="AL56" s="768"/>
      <c r="AM56" s="599">
        <f>IF(ISNUMBER(ACT!K50),ACT!K50*1000000/AM$7,"")</f>
        <v>0</v>
      </c>
      <c r="AN56" s="600">
        <f>IF(ISNUMBER(ACT!L50),ACT!L50*1000000/AN$7,"")</f>
        <v>0</v>
      </c>
      <c r="AO56" s="601">
        <f>IF(ISNUMBER(NSW!K50),NSW!K50*1000000/AO$7,"")</f>
        <v>0</v>
      </c>
      <c r="AP56" s="601">
        <f>IF(ISNUMBER(NSW!L50),NSW!L50*1000000/AP$7,"")</f>
        <v>0</v>
      </c>
      <c r="AQ56" s="599" t="str">
        <f>IF(ISNUMBER(NT!K50),NT!K50*1000000/AQ$7,"")</f>
        <v/>
      </c>
      <c r="AR56" s="600">
        <f>IF(ISNUMBER(NT!L50),NT!L50*1000000/AR$7,"")</f>
        <v>0</v>
      </c>
      <c r="AS56" s="601" t="str">
        <f>IF(ISNUMBER(Qld!K50),Qld!K50*1000000/AS$7,"")</f>
        <v/>
      </c>
      <c r="AT56" s="601">
        <f>IF(ISNUMBER(Qld!L50),Qld!L50*1000000/AT$7,"")</f>
        <v>26114.303182537638</v>
      </c>
      <c r="AU56" s="599"/>
      <c r="AV56" s="600">
        <f>IF(ISNUMBER(SA!L50),SA!L50*1000000/AV$7,"")</f>
        <v>5698.1825022170069</v>
      </c>
      <c r="AW56" s="601" t="str">
        <f>IF(ISNUMBER(TAS!K50),TAS!K50*1000000/AW$7,"")</f>
        <v/>
      </c>
      <c r="AX56" s="601" t="str">
        <f>IF(ISNUMBER(TAS!L50),TAS!L50*1000000/AX$7,"")</f>
        <v/>
      </c>
      <c r="AY56" s="599">
        <f>IF(ISNUMBER(Vic!K50),Vic!K50*1000000/AY$7,"")</f>
        <v>3391.6885356717216</v>
      </c>
      <c r="AZ56" s="600">
        <f>IF(ISNUMBER(Vic!L50),Vic!L50*1000000/AZ$7,"")</f>
        <v>3659.4812192491845</v>
      </c>
      <c r="BA56" s="601">
        <f>IF(ISNUMBER(WA!L50),WA!L50*1000000/BA$7,"")</f>
        <v>3539.4888537672609</v>
      </c>
      <c r="BB56" s="601">
        <f>IF(ISNUMBER(WA!M50),WA!M50*1000000/BB$7,"")</f>
        <v>3497.5545467338211</v>
      </c>
      <c r="BC56" s="616">
        <f t="shared" si="1"/>
        <v>4172.7908036524213</v>
      </c>
      <c r="BE56" s="599">
        <v>0</v>
      </c>
      <c r="BF56" s="601">
        <v>0</v>
      </c>
      <c r="BG56" s="601">
        <f>SUM([2]NT!M50:N50)</f>
        <v>0</v>
      </c>
      <c r="BH56" s="601">
        <v>10870.772697910445</v>
      </c>
      <c r="BI56" s="601">
        <v>1762.6861519676181</v>
      </c>
      <c r="BJ56" s="601"/>
      <c r="BK56" s="601">
        <v>9937.7894710590554</v>
      </c>
      <c r="BL56" s="600">
        <v>6436.018710677743</v>
      </c>
    </row>
    <row r="57" spans="2:64">
      <c r="B57" s="903"/>
      <c r="C57" s="873"/>
      <c r="D57" s="602" t="s">
        <v>115</v>
      </c>
      <c r="E57" s="620" t="s">
        <v>114</v>
      </c>
      <c r="F57" s="154">
        <f>IF(ISNUMBER(ACT!K51),ACT!K51,"")</f>
        <v>2765.23</v>
      </c>
      <c r="G57" s="591" t="s">
        <v>812</v>
      </c>
      <c r="H57" s="155">
        <f>IF(ISNUMBER(ACT!L51),ACT!L51,"")</f>
        <v>2258.65</v>
      </c>
      <c r="I57" s="592" t="s">
        <v>812</v>
      </c>
      <c r="J57" s="155">
        <f>IF(ISNUMBER(NSW!K51),NSW!K51,"")</f>
        <v>59.706499999999998</v>
      </c>
      <c r="K57" s="743"/>
      <c r="L57" s="155">
        <f>IF(ISNUMBER(NSW!L51),NSW!L51,"")</f>
        <v>723.57949999999994</v>
      </c>
      <c r="M57" s="743"/>
      <c r="N57" s="154" t="str">
        <f>IF(ISNUMBER(NT!K51),NT!K51,"")</f>
        <v/>
      </c>
      <c r="O57" s="743"/>
      <c r="P57" s="155">
        <f>IF(ISNUMBER(NT!L51),NT!L51,"")</f>
        <v>0</v>
      </c>
      <c r="Q57" s="743"/>
      <c r="R57" s="154" t="str">
        <f>IF(ISNUMBER(Qld!K51),Qld!K51,"")</f>
        <v/>
      </c>
      <c r="S57" s="591" t="s">
        <v>812</v>
      </c>
      <c r="T57" s="155">
        <f>IF(ISNUMBER(Qld!L51),Qld!L51,"")</f>
        <v>127541</v>
      </c>
      <c r="U57" s="592" t="s">
        <v>812</v>
      </c>
      <c r="V57" s="154" t="str">
        <f>IF(ISNUMBER(SA!K51),SA!K51,"")</f>
        <v/>
      </c>
      <c r="W57" s="743"/>
      <c r="X57" s="155">
        <f>IF(ISNUMBER(SA!L51),SA!L51,"")</f>
        <v>3.16</v>
      </c>
      <c r="Y57" s="743"/>
      <c r="Z57" s="154" t="str">
        <f>IF(ISNUMBER(TAS!K51),TAS!K51,"")</f>
        <v/>
      </c>
      <c r="AA57" s="743"/>
      <c r="AB57" s="155" t="str">
        <f>IF(ISNUMBER(TAS!L51),TAS!L51,"")</f>
        <v/>
      </c>
      <c r="AC57" s="743"/>
      <c r="AD57" s="154">
        <f>IF(ISNUMBER(Vic!K51),Vic!K51,"")</f>
        <v>48698.314000000079</v>
      </c>
      <c r="AE57" s="595" t="s">
        <v>812</v>
      </c>
      <c r="AF57" s="155">
        <f>IF(ISNUMBER(Vic!L51),Vic!L51,"")</f>
        <v>50261.048999999992</v>
      </c>
      <c r="AG57" s="594" t="s">
        <v>812</v>
      </c>
      <c r="AH57" s="154">
        <f>IF(ISNUMBER(WA!L51),WA!L51,"")</f>
        <v>29676.50168000074</v>
      </c>
      <c r="AI57" s="591" t="s">
        <v>812</v>
      </c>
      <c r="AJ57" s="155">
        <f>IF(ISNUMBER(WA!M51),WA!M51,"")</f>
        <v>32410.364120000813</v>
      </c>
      <c r="AK57" s="592" t="s">
        <v>812</v>
      </c>
      <c r="AL57" s="768"/>
      <c r="AM57" s="604">
        <f>IF(ISNUMBER(ACT!K51),ACT!K51*1000000/AM$7,"")</f>
        <v>7278.1660020793033</v>
      </c>
      <c r="AN57" s="605">
        <f>IF(ISNUMBER(ACT!L51),ACT!L51*1000000/AN$7,"")</f>
        <v>5899.6614809165094</v>
      </c>
      <c r="AO57" s="606">
        <f>IF(ISNUMBER(NSW!K51),NSW!K51*1000000/AO$7,"")</f>
        <v>8.0871951242637667</v>
      </c>
      <c r="AP57" s="606">
        <f>IF(ISNUMBER(NSW!L51),NSW!L51*1000000/AP$7,"")</f>
        <v>97.276555699329478</v>
      </c>
      <c r="AQ57" s="604" t="str">
        <f>IF(ISNUMBER(NT!K51),NT!K51*1000000/AQ$7,"")</f>
        <v/>
      </c>
      <c r="AR57" s="605">
        <f>IF(ISNUMBER(NT!L51),NT!L51*1000000/AR$7,"")</f>
        <v>0</v>
      </c>
      <c r="AS57" s="606" t="str">
        <f>IF(ISNUMBER(Qld!K51),Qld!K51*1000000/AS$7,"")</f>
        <v/>
      </c>
      <c r="AT57" s="606">
        <f>IF(ISNUMBER(Qld!L51),Qld!L51*1000000/AT$7,"")</f>
        <v>27283.814261874217</v>
      </c>
      <c r="AU57" s="604"/>
      <c r="AV57" s="605">
        <f>IF(ISNUMBER(SA!L51),SA!L51*1000000/AV$7,"")</f>
        <v>1.887068504766938</v>
      </c>
      <c r="AW57" s="606" t="str">
        <f>IF(ISNUMBER(TAS!K51),TAS!K51*1000000/AW$7,"")</f>
        <v/>
      </c>
      <c r="AX57" s="606" t="str">
        <f>IF(ISNUMBER(TAS!L51),TAS!L51*1000000/AX$7,"")</f>
        <v/>
      </c>
      <c r="AY57" s="604">
        <f>IF(ISNUMBER(Vic!K51),Vic!K51*1000000/AY$7,"")</f>
        <v>8521.573714427117</v>
      </c>
      <c r="AZ57" s="605">
        <f>IF(ISNUMBER(Vic!L51),Vic!L51*1000000/AZ$7,"")</f>
        <v>8713.5626042363729</v>
      </c>
      <c r="BA57" s="606">
        <f>IF(ISNUMBER(WA!L51),WA!L51*1000000/BA$7,"")</f>
        <v>11859.144738183211</v>
      </c>
      <c r="BB57" s="606">
        <f>IF(ISNUMBER(WA!M51),WA!M51*1000000/BB$7,"")</f>
        <v>12775.311217827375</v>
      </c>
      <c r="BC57" s="617">
        <f t="shared" si="1"/>
        <v>7494.4077126247694</v>
      </c>
      <c r="BE57" s="604">
        <v>14912.130278614855</v>
      </c>
      <c r="BF57" s="606">
        <v>0</v>
      </c>
      <c r="BG57" s="606">
        <f>SUM([2]NT!M51:N51)</f>
        <v>0</v>
      </c>
      <c r="BH57" s="606">
        <v>29288.54115336285</v>
      </c>
      <c r="BI57" s="606">
        <v>15.011301849756567</v>
      </c>
      <c r="BJ57" s="606"/>
      <c r="BK57" s="606">
        <v>17599.701635230798</v>
      </c>
      <c r="BL57" s="605">
        <v>28252.702235037701</v>
      </c>
    </row>
    <row r="58" spans="2:64">
      <c r="B58" s="903"/>
      <c r="C58" s="873"/>
      <c r="D58" s="602" t="s">
        <v>52</v>
      </c>
      <c r="E58" s="620" t="s">
        <v>116</v>
      </c>
      <c r="F58" s="154">
        <f>IF(ISNUMBER(ACT!K52),ACT!K52,"")</f>
        <v>0</v>
      </c>
      <c r="G58" s="591" t="s">
        <v>812</v>
      </c>
      <c r="H58" s="155">
        <f>IF(ISNUMBER(ACT!L52),ACT!L52,"")</f>
        <v>0</v>
      </c>
      <c r="I58" s="592" t="s">
        <v>812</v>
      </c>
      <c r="J58" s="155">
        <f>IF(ISNUMBER(NSW!K52),NSW!K52,"")</f>
        <v>0</v>
      </c>
      <c r="K58" s="591" t="s">
        <v>812</v>
      </c>
      <c r="L58" s="155">
        <f>IF(ISNUMBER(NSW!L52),NSW!L52,"")</f>
        <v>0</v>
      </c>
      <c r="M58" s="592" t="s">
        <v>812</v>
      </c>
      <c r="N58" s="154" t="str">
        <f>IF(ISNUMBER(NT!K52),NT!K52,"")</f>
        <v/>
      </c>
      <c r="O58" s="591" t="s">
        <v>812</v>
      </c>
      <c r="P58" s="155">
        <f>IF(ISNUMBER(NT!L52),NT!L52,"")</f>
        <v>0</v>
      </c>
      <c r="Q58" s="592" t="s">
        <v>812</v>
      </c>
      <c r="R58" s="154" t="str">
        <f>IF(ISNUMBER(Qld!K52),Qld!K52,"")</f>
        <v/>
      </c>
      <c r="S58" s="591" t="s">
        <v>812</v>
      </c>
      <c r="T58" s="155">
        <f>IF(ISNUMBER(Qld!L52),Qld!L52,"")</f>
        <v>6155</v>
      </c>
      <c r="U58" s="592" t="s">
        <v>812</v>
      </c>
      <c r="V58" s="154" t="str">
        <f>IF(ISNUMBER(SA!K52),SA!K52,"")</f>
        <v/>
      </c>
      <c r="W58" s="591" t="s">
        <v>812</v>
      </c>
      <c r="X58" s="155">
        <f>IF(ISNUMBER(SA!L52),SA!L52,"")</f>
        <v>0</v>
      </c>
      <c r="Y58" s="592" t="s">
        <v>812</v>
      </c>
      <c r="Z58" s="154" t="str">
        <f>IF(ISNUMBER(TAS!K52),TAS!K52,"")</f>
        <v/>
      </c>
      <c r="AA58" s="591" t="s">
        <v>812</v>
      </c>
      <c r="AB58" s="155" t="str">
        <f>IF(ISNUMBER(TAS!L52),TAS!L52,"")</f>
        <v/>
      </c>
      <c r="AC58" s="592" t="s">
        <v>812</v>
      </c>
      <c r="AD58" s="154">
        <f>IF(ISNUMBER(Vic!K52),Vic!K52,"")</f>
        <v>171.34</v>
      </c>
      <c r="AE58" s="595" t="s">
        <v>812</v>
      </c>
      <c r="AF58" s="155">
        <f>IF(ISNUMBER(Vic!L52),Vic!L52,"")</f>
        <v>214.5</v>
      </c>
      <c r="AG58" s="594" t="s">
        <v>812</v>
      </c>
      <c r="AH58" s="154">
        <f>IF(ISNUMBER(WA!L52),WA!L52,"")</f>
        <v>0</v>
      </c>
      <c r="AI58" s="591" t="s">
        <v>812</v>
      </c>
      <c r="AJ58" s="155">
        <f>IF(ISNUMBER(WA!M52),WA!M52,"")</f>
        <v>0</v>
      </c>
      <c r="AK58" s="592" t="s">
        <v>812</v>
      </c>
      <c r="AL58" s="768"/>
      <c r="AM58" s="604">
        <f>IF(ISNUMBER(ACT!K52),ACT!K52*1000000/AM$7,"")</f>
        <v>0</v>
      </c>
      <c r="AN58" s="605">
        <f>IF(ISNUMBER(ACT!L52),ACT!L52*1000000/AN$7,"")</f>
        <v>0</v>
      </c>
      <c r="AO58" s="606">
        <f>IF(ISNUMBER(NSW!K52),NSW!K52*1000000/AO$7,"")</f>
        <v>0</v>
      </c>
      <c r="AP58" s="606">
        <f>IF(ISNUMBER(NSW!L52),NSW!L52*1000000/AP$7,"")</f>
        <v>0</v>
      </c>
      <c r="AQ58" s="604" t="str">
        <f>IF(ISNUMBER(NT!K52),NT!K52*1000000/AQ$7,"")</f>
        <v/>
      </c>
      <c r="AR58" s="605">
        <f>IF(ISNUMBER(NT!L52),NT!L52*1000000/AR$7,"")</f>
        <v>0</v>
      </c>
      <c r="AS58" s="606" t="str">
        <f>IF(ISNUMBER(Qld!K52),Qld!K52*1000000/AS$7,"")</f>
        <v/>
      </c>
      <c r="AT58" s="606">
        <f>IF(ISNUMBER(Qld!L52),Qld!L52*1000000/AT$7,"")</f>
        <v>1316.689353085171</v>
      </c>
      <c r="AU58" s="604" t="str">
        <f>IF(ISNUMBER(SA!K52),SA!K52*1000000/AU$7,"")</f>
        <v/>
      </c>
      <c r="AV58" s="605">
        <f>IF(ISNUMBER(SA!L52),SA!L52*1000000/AV$7,"")</f>
        <v>0</v>
      </c>
      <c r="AW58" s="606" t="str">
        <f>IF(ISNUMBER(TAS!K52),TAS!K52*1000000/AW$7,"")</f>
        <v/>
      </c>
      <c r="AX58" s="606" t="str">
        <f>IF(ISNUMBER(TAS!L52),TAS!L52*1000000/AX$7,"")</f>
        <v/>
      </c>
      <c r="AY58" s="604">
        <f>IF(ISNUMBER(Vic!K52),Vic!K52*1000000/AY$7,"")</f>
        <v>29.982279062678433</v>
      </c>
      <c r="AZ58" s="605">
        <f>IF(ISNUMBER(Vic!L52),Vic!L52*1000000/AZ$7,"")</f>
        <v>37.187030827961877</v>
      </c>
      <c r="BA58" s="606">
        <f>IF(ISNUMBER(WA!L52),WA!L52*1000000/BA$7,"")</f>
        <v>0</v>
      </c>
      <c r="BB58" s="606">
        <f>IF(ISNUMBER(WA!M52),WA!M52*1000000/BB$7,"")</f>
        <v>0</v>
      </c>
      <c r="BC58" s="617">
        <f t="shared" si="1"/>
        <v>125.80533299780103</v>
      </c>
      <c r="BE58" s="604">
        <v>0</v>
      </c>
      <c r="BF58" s="606">
        <v>0</v>
      </c>
      <c r="BG58" s="606">
        <f>SUM([2]NT!M52:N52)</f>
        <v>0</v>
      </c>
      <c r="BH58" s="606">
        <v>0</v>
      </c>
      <c r="BI58" s="606">
        <v>0</v>
      </c>
      <c r="BJ58" s="606"/>
      <c r="BK58" s="606">
        <v>98.799547486992481</v>
      </c>
      <c r="BL58" s="605"/>
    </row>
    <row r="59" spans="2:64">
      <c r="B59" s="904"/>
      <c r="C59" s="874"/>
      <c r="D59" s="614" t="s">
        <v>118</v>
      </c>
      <c r="E59" s="622" t="s">
        <v>117</v>
      </c>
      <c r="F59" s="774">
        <f>IF(ISNUMBER(ACT!K53),ACT!K53,"")</f>
        <v>0</v>
      </c>
      <c r="G59" s="770" t="s">
        <v>812</v>
      </c>
      <c r="H59" s="769">
        <f>IF(ISNUMBER(ACT!L53),ACT!L53,"")</f>
        <v>0</v>
      </c>
      <c r="I59" s="771" t="s">
        <v>812</v>
      </c>
      <c r="J59" s="769">
        <f>IF(ISNUMBER(NSW!K53),NSW!K53,"")</f>
        <v>0</v>
      </c>
      <c r="K59" s="770" t="s">
        <v>812</v>
      </c>
      <c r="L59" s="769">
        <f>IF(ISNUMBER(NSW!L53),NSW!L53,"")</f>
        <v>0</v>
      </c>
      <c r="M59" s="771" t="s">
        <v>812</v>
      </c>
      <c r="N59" s="774" t="str">
        <f>IF(ISNUMBER(NT!K53),NT!K53,"")</f>
        <v/>
      </c>
      <c r="O59" s="770" t="s">
        <v>812</v>
      </c>
      <c r="P59" s="769">
        <f>IF(ISNUMBER(NT!L53),NT!L53,"")</f>
        <v>0</v>
      </c>
      <c r="Q59" s="771" t="s">
        <v>812</v>
      </c>
      <c r="R59" s="774" t="str">
        <f>IF(ISNUMBER(Qld!K53),Qld!K53,"")</f>
        <v/>
      </c>
      <c r="S59" s="770" t="s">
        <v>812</v>
      </c>
      <c r="T59" s="769">
        <f>IF(ISNUMBER(Qld!L53),Qld!L53,"")</f>
        <v>0</v>
      </c>
      <c r="U59" s="771" t="s">
        <v>812</v>
      </c>
      <c r="V59" s="774" t="str">
        <f>IF(ISNUMBER(SA!K53),SA!K53,"")</f>
        <v/>
      </c>
      <c r="W59" s="770" t="s">
        <v>812</v>
      </c>
      <c r="X59" s="769">
        <f>IF(ISNUMBER(SA!L53),SA!L53,"")</f>
        <v>0</v>
      </c>
      <c r="Y59" s="771" t="s">
        <v>812</v>
      </c>
      <c r="Z59" s="774" t="str">
        <f>IF(ISNUMBER(TAS!K53),TAS!K53,"")</f>
        <v/>
      </c>
      <c r="AA59" s="770" t="s">
        <v>812</v>
      </c>
      <c r="AB59" s="769" t="str">
        <f>IF(ISNUMBER(TAS!L53),TAS!L53,"")</f>
        <v/>
      </c>
      <c r="AC59" s="771" t="s">
        <v>812</v>
      </c>
      <c r="AD59" s="774">
        <f>IF(ISNUMBER(Vic!K53),Vic!K53,"")</f>
        <v>171.34</v>
      </c>
      <c r="AE59" s="772" t="s">
        <v>812</v>
      </c>
      <c r="AF59" s="769">
        <f>IF(ISNUMBER(Vic!L53),Vic!L53,"")</f>
        <v>214.5</v>
      </c>
      <c r="AG59" s="773" t="s">
        <v>812</v>
      </c>
      <c r="AH59" s="774">
        <f>IF(ISNUMBER(WA!L53),WA!L53,"")</f>
        <v>0</v>
      </c>
      <c r="AI59" s="770" t="s">
        <v>812</v>
      </c>
      <c r="AJ59" s="769">
        <f>IF(ISNUMBER(WA!M53),WA!M53,"")</f>
        <v>0</v>
      </c>
      <c r="AK59" s="771" t="s">
        <v>812</v>
      </c>
      <c r="AL59" s="768"/>
      <c r="AM59" s="788">
        <f>IF(ISNUMBER(ACT!K53),ACT!K53*1000000/AM$7,"")</f>
        <v>0</v>
      </c>
      <c r="AN59" s="790">
        <f>IF(ISNUMBER(ACT!L53),ACT!L53*1000000/AN$7,"")</f>
        <v>0</v>
      </c>
      <c r="AO59" s="777">
        <f>IF(ISNUMBER(NSW!K53),NSW!K53*1000000/AO$7,"")</f>
        <v>0</v>
      </c>
      <c r="AP59" s="777">
        <f>IF(ISNUMBER(NSW!L53),NSW!L53*1000000/AP$7,"")</f>
        <v>0</v>
      </c>
      <c r="AQ59" s="788" t="str">
        <f>IF(ISNUMBER(NT!K53),NT!K53*1000000/AQ$7,"")</f>
        <v/>
      </c>
      <c r="AR59" s="790">
        <f>IF(ISNUMBER(NT!L53),NT!L53*1000000/AR$7,"")</f>
        <v>0</v>
      </c>
      <c r="AS59" s="606" t="str">
        <f>IF(ISNUMBER(Qld!K53),Qld!K53*1000000/AS$7,"")</f>
        <v/>
      </c>
      <c r="AT59" s="606">
        <f>IF(ISNUMBER(Qld!L53),Qld!L53*1000000/AT$7,"")</f>
        <v>0</v>
      </c>
      <c r="AU59" s="788" t="str">
        <f>IF(ISNUMBER(SA!K53),SA!K53*1000000/AU$7,"")</f>
        <v/>
      </c>
      <c r="AV59" s="605">
        <f>IF(ISNUMBER(SA!L53),SA!L53*1000000/AV$7,"")</f>
        <v>0</v>
      </c>
      <c r="AW59" s="777" t="str">
        <f>IF(ISNUMBER(TAS!K53),TAS!K53*1000000/AW$7,"")</f>
        <v/>
      </c>
      <c r="AX59" s="777" t="str">
        <f>IF(ISNUMBER(TAS!L53),TAS!L53*1000000/AX$7,"")</f>
        <v/>
      </c>
      <c r="AY59" s="788">
        <f>IF(ISNUMBER(Vic!K53),Vic!K53*1000000/AY$7,"")</f>
        <v>29.982279062678433</v>
      </c>
      <c r="AZ59" s="790">
        <f>IF(ISNUMBER(Vic!L53),Vic!L53*1000000/AZ$7,"")</f>
        <v>37.187030827961877</v>
      </c>
      <c r="BA59" s="777">
        <f>IF(ISNUMBER(WA!L53),WA!L53*1000000/BA$7,"")</f>
        <v>0</v>
      </c>
      <c r="BB59" s="777">
        <f>IF(ISNUMBER(WA!M53),WA!M53*1000000/BB$7,"")</f>
        <v>0</v>
      </c>
      <c r="BC59" s="787">
        <f t="shared" si="1"/>
        <v>6.1063008991491188</v>
      </c>
      <c r="BE59" s="788">
        <v>0</v>
      </c>
      <c r="BF59" s="777">
        <v>0</v>
      </c>
      <c r="BG59" s="777">
        <f>SUM([2]NT!M53:N53)</f>
        <v>0</v>
      </c>
      <c r="BH59" s="777">
        <v>1345.8801806206311</v>
      </c>
      <c r="BI59" s="777">
        <v>0</v>
      </c>
      <c r="BJ59" s="777"/>
      <c r="BK59" s="777">
        <v>98.799547486992481</v>
      </c>
      <c r="BL59" s="790"/>
    </row>
    <row r="60" spans="2:64">
      <c r="B60" s="902" t="s">
        <v>53</v>
      </c>
      <c r="C60" s="872" t="s">
        <v>54</v>
      </c>
      <c r="D60" s="597" t="s">
        <v>55</v>
      </c>
      <c r="E60" s="619" t="s">
        <v>160</v>
      </c>
      <c r="F60" s="157">
        <f>IF(ISNUMBER(ACT!K54),ACT!K54,"")</f>
        <v>6.2160000000000002</v>
      </c>
      <c r="G60" s="589" t="s">
        <v>812</v>
      </c>
      <c r="H60" s="158">
        <f>IF(ISNUMBER(ACT!L54),ACT!L54,"")</f>
        <v>19.062999999999999</v>
      </c>
      <c r="I60" s="588" t="s">
        <v>812</v>
      </c>
      <c r="J60" s="158">
        <f>IF(ISNUMBER(NSW!K54),NSW!K54,"")</f>
        <v>1036.9860000000003</v>
      </c>
      <c r="K60" s="589" t="s">
        <v>812</v>
      </c>
      <c r="L60" s="158">
        <f>IF(ISNUMBER(NSW!L54),NSW!L54,"")</f>
        <v>991.26150000000007</v>
      </c>
      <c r="M60" s="588" t="s">
        <v>812</v>
      </c>
      <c r="N60" s="157" t="str">
        <f>IF(ISNUMBER(NT!K54),NT!K54,"")</f>
        <v/>
      </c>
      <c r="O60" s="589" t="s">
        <v>812</v>
      </c>
      <c r="P60" s="158">
        <f>IF(ISNUMBER(NT!L54),NT!L54,"")</f>
        <v>168.46195245098306</v>
      </c>
      <c r="Q60" s="588" t="s">
        <v>812</v>
      </c>
      <c r="R60" s="157" t="str">
        <f>IF(ISNUMBER(Qld!K54),Qld!K54,"")</f>
        <v/>
      </c>
      <c r="S60" s="589" t="s">
        <v>812</v>
      </c>
      <c r="T60" s="158">
        <f>IF(ISNUMBER(Qld!L54),Qld!L54,"")</f>
        <v>1556</v>
      </c>
      <c r="U60" s="588" t="s">
        <v>812</v>
      </c>
      <c r="V60" s="157" t="str">
        <f>IF(ISNUMBER(SA!K54),SA!K54,"")</f>
        <v/>
      </c>
      <c r="W60" s="589" t="s">
        <v>812</v>
      </c>
      <c r="X60" s="158">
        <f>IF(ISNUMBER(SA!L54),SA!L54,"")</f>
        <v>26.92</v>
      </c>
      <c r="Y60" s="588" t="s">
        <v>812</v>
      </c>
      <c r="Z60" s="157" t="str">
        <f>IF(ISNUMBER(TAS!K54),TAS!K54,"")</f>
        <v/>
      </c>
      <c r="AA60" s="589" t="s">
        <v>812</v>
      </c>
      <c r="AB60" s="158">
        <f>IF(ISNUMBER(TAS!L54),TAS!L54,"")</f>
        <v>22</v>
      </c>
      <c r="AC60" s="588" t="s">
        <v>812</v>
      </c>
      <c r="AD60" s="157">
        <f>IF(ISNUMBER(Vic!K54),Vic!K54,"")</f>
        <v>71.478999999999999</v>
      </c>
      <c r="AE60" s="596" t="s">
        <v>812</v>
      </c>
      <c r="AF60" s="158">
        <f>IF(ISNUMBER(Vic!L54),Vic!L54,"")</f>
        <v>236.565</v>
      </c>
      <c r="AG60" s="593" t="s">
        <v>812</v>
      </c>
      <c r="AH60" s="157">
        <f>IF(ISNUMBER(WA!L54),WA!L54,"")</f>
        <v>1.6369999999999998</v>
      </c>
      <c r="AI60" s="589" t="s">
        <v>812</v>
      </c>
      <c r="AJ60" s="158">
        <f>IF(ISNUMBER(WA!M54),WA!M54,"")</f>
        <v>5.5223000000000004</v>
      </c>
      <c r="AK60" s="588" t="s">
        <v>812</v>
      </c>
      <c r="AL60" s="768"/>
      <c r="AM60" s="599">
        <f>IF(ISNUMBER(ACT!K54),ACT!K54*1000000/AM$7,"")</f>
        <v>16.360693276481502</v>
      </c>
      <c r="AN60" s="600">
        <f>IF(ISNUMBER(ACT!L54),ACT!L54*1000000/AN$7,"")</f>
        <v>49.793127226755544</v>
      </c>
      <c r="AO60" s="601">
        <f>IF(ISNUMBER(NSW!K54),NSW!K54*1000000/AO$7,"")</f>
        <v>140.45888007385776</v>
      </c>
      <c r="AP60" s="601">
        <f>IF(ISNUMBER(NSW!L54),NSW!L54*1000000/AP$7,"")</f>
        <v>133.26317912178402</v>
      </c>
      <c r="AQ60" s="599" t="str">
        <f>IF(ISNUMBER(NT!K54),NT!K54*1000000/AQ$7,"")</f>
        <v/>
      </c>
      <c r="AR60" s="600">
        <f>IF(ISNUMBER(NT!L54),NT!L54*1000000/AR$7,"")</f>
        <v>695.51447678473028</v>
      </c>
      <c r="AS60" s="599" t="str">
        <f>IF(ISNUMBER(Qld!K54),Qld!K54*1000000/AS$7,"")</f>
        <v/>
      </c>
      <c r="AT60" s="600">
        <f>IF(ISNUMBER(Qld!L54),Qld!L54*1000000/AT$7,"")</f>
        <v>332.86249121048354</v>
      </c>
      <c r="AU60" s="599" t="str">
        <f>IF(ISNUMBER(SA!K54),SA!K54*1000000/AU$7,"")</f>
        <v/>
      </c>
      <c r="AV60" s="600">
        <f>IF(ISNUMBER(SA!L54),SA!L54*1000000/AV$7,"")</f>
        <v>16.075912705166449</v>
      </c>
      <c r="AW60" s="601" t="str">
        <f>IF(ISNUMBER(TAS!K54),TAS!K54*1000000/AW$7,"")</f>
        <v/>
      </c>
      <c r="AX60" s="601">
        <f>IF(ISNUMBER(TAS!L54),TAS!L54*1000000/AX$7,"")</f>
        <v>42.851577717179588</v>
      </c>
      <c r="AY60" s="599">
        <f>IF(ISNUMBER(Vic!K54),Vic!K54*1000000/AY$7,"")</f>
        <v>12.507898477420285</v>
      </c>
      <c r="AZ60" s="600">
        <f>IF(ISNUMBER(Vic!L54),Vic!L54*1000000/AZ$7,"")</f>
        <v>41.012354069075997</v>
      </c>
      <c r="BA60" s="601">
        <f>IF(ISNUMBER(WA!L54),WA!L54*1000000/BA$7,"")</f>
        <v>0.65416807364086282</v>
      </c>
      <c r="BB60" s="601">
        <f>IF(ISNUMBER(WA!M54),WA!M54*1000000/BB$7,"")</f>
        <v>2.1767450953959337</v>
      </c>
      <c r="BC60" s="616">
        <f t="shared" si="1"/>
        <v>123.627625319331</v>
      </c>
      <c r="BE60" s="599">
        <v>48.180715032728337</v>
      </c>
      <c r="BF60" s="601">
        <v>5132.5099172260398</v>
      </c>
      <c r="BG60" s="601">
        <f>SUM([2]NT!M54:N54)</f>
        <v>70.5</v>
      </c>
      <c r="BH60" s="601">
        <v>7178.0276299766992</v>
      </c>
      <c r="BI60" s="601">
        <v>8.0447424699437828</v>
      </c>
      <c r="BJ60" s="601">
        <v>0</v>
      </c>
      <c r="BK60" s="601">
        <v>82.109855757278396</v>
      </c>
      <c r="BL60" s="600">
        <v>88.168257425033616</v>
      </c>
    </row>
    <row r="61" spans="2:64">
      <c r="B61" s="903"/>
      <c r="C61" s="873"/>
      <c r="D61" s="602" t="s">
        <v>56</v>
      </c>
      <c r="E61" s="620" t="s">
        <v>161</v>
      </c>
      <c r="F61" s="154">
        <f>IF(ISNUMBER(ACT!K55),ACT!K55,"")</f>
        <v>0</v>
      </c>
      <c r="G61" s="591" t="s">
        <v>812</v>
      </c>
      <c r="H61" s="155">
        <f>IF(ISNUMBER(ACT!L55),ACT!L55,"")</f>
        <v>0</v>
      </c>
      <c r="I61" s="592" t="s">
        <v>812</v>
      </c>
      <c r="J61" s="155">
        <f>IF(ISNUMBER(NSW!K55),NSW!K55,"")</f>
        <v>96.72</v>
      </c>
      <c r="K61" s="591" t="s">
        <v>812</v>
      </c>
      <c r="L61" s="155">
        <f>IF(ISNUMBER(NSW!L55),NSW!L55,"")</f>
        <v>47.999999999999993</v>
      </c>
      <c r="M61" s="592" t="s">
        <v>812</v>
      </c>
      <c r="N61" s="154" t="str">
        <f>IF(ISNUMBER(NT!K55),NT!K55,"")</f>
        <v/>
      </c>
      <c r="O61" s="591" t="s">
        <v>812</v>
      </c>
      <c r="P61" s="155">
        <f>IF(ISNUMBER(NT!L55),NT!L55,"")</f>
        <v>0</v>
      </c>
      <c r="Q61" s="592" t="s">
        <v>812</v>
      </c>
      <c r="R61" s="154" t="str">
        <f>IF(ISNUMBER(Qld!K55),Qld!K55,"")</f>
        <v/>
      </c>
      <c r="S61" s="591" t="s">
        <v>812</v>
      </c>
      <c r="T61" s="155">
        <f>IF(ISNUMBER(Qld!L55),Qld!L55,"")</f>
        <v>955</v>
      </c>
      <c r="U61" s="592" t="s">
        <v>812</v>
      </c>
      <c r="V61" s="154" t="str">
        <f>IF(ISNUMBER(SA!K55),SA!K55,"")</f>
        <v/>
      </c>
      <c r="W61" s="591" t="s">
        <v>812</v>
      </c>
      <c r="X61" s="155">
        <f>IF(ISNUMBER(SA!L55),SA!L55,"")</f>
        <v>0</v>
      </c>
      <c r="Y61" s="592" t="s">
        <v>812</v>
      </c>
      <c r="Z61" s="154" t="str">
        <f>IF(ISNUMBER(TAS!K55),TAS!K55,"")</f>
        <v/>
      </c>
      <c r="AA61" s="591" t="s">
        <v>812</v>
      </c>
      <c r="AB61" s="155" t="str">
        <f>IF(ISNUMBER(TAS!L55),TAS!L55,"")</f>
        <v/>
      </c>
      <c r="AC61" s="592" t="s">
        <v>812</v>
      </c>
      <c r="AD61" s="154">
        <f>IF(ISNUMBER(Vic!K55),Vic!K55,"")</f>
        <v>8</v>
      </c>
      <c r="AE61" s="595" t="s">
        <v>812</v>
      </c>
      <c r="AF61" s="155">
        <f>IF(ISNUMBER(Vic!L55),Vic!L55,"")</f>
        <v>0.03</v>
      </c>
      <c r="AG61" s="594" t="s">
        <v>812</v>
      </c>
      <c r="AH61" s="154">
        <f>IF(ISNUMBER(WA!L55),WA!L55,"")</f>
        <v>0</v>
      </c>
      <c r="AI61" s="591" t="s">
        <v>812</v>
      </c>
      <c r="AJ61" s="155">
        <f>IF(ISNUMBER(WA!M55),WA!M55,"")</f>
        <v>2.39</v>
      </c>
      <c r="AK61" s="592" t="s">
        <v>812</v>
      </c>
      <c r="AL61" s="768"/>
      <c r="AM61" s="604">
        <f>IF(ISNUMBER(ACT!K55),ACT!K55*1000000/AM$7,"")</f>
        <v>0</v>
      </c>
      <c r="AN61" s="605">
        <f>IF(ISNUMBER(ACT!L55),ACT!L55*1000000/AN$7,"")</f>
        <v>0</v>
      </c>
      <c r="AO61" s="606">
        <f>IF(ISNUMBER(NSW!K55),NSW!K55*1000000/AO$7,"")</f>
        <v>13.100642516623676</v>
      </c>
      <c r="AP61" s="606">
        <f>IF(ISNUMBER(NSW!L55),NSW!L55*1000000/AP$7,"")</f>
        <v>6.453022333506981</v>
      </c>
      <c r="AQ61" s="604" t="str">
        <f>IF(ISNUMBER(NT!K55),NT!K55*1000000/AQ$7,"")</f>
        <v/>
      </c>
      <c r="AR61" s="605">
        <f>IF(ISNUMBER(NT!L55),NT!L55*1000000/AR$7,"")</f>
        <v>0</v>
      </c>
      <c r="AS61" s="604" t="str">
        <f>IF(ISNUMBER(Qld!K55),Qld!K55*1000000/AS$7,"")</f>
        <v/>
      </c>
      <c r="AT61" s="605">
        <f>IF(ISNUMBER(Qld!L55),Qld!L55*1000000/AT$7,"")</f>
        <v>204.29542358998188</v>
      </c>
      <c r="AU61" s="604" t="str">
        <f>IF(ISNUMBER(SA!K55),SA!K55*1000000/AU$7,"")</f>
        <v/>
      </c>
      <c r="AV61" s="605">
        <f>IF(ISNUMBER(SA!L55),SA!L55*1000000/AV$7,"")</f>
        <v>0</v>
      </c>
      <c r="AW61" s="606" t="str">
        <f>IF(ISNUMBER(TAS!K55),TAS!K55*1000000/AW$7,"")</f>
        <v/>
      </c>
      <c r="AX61" s="606" t="str">
        <f>IF(ISNUMBER(TAS!L55),TAS!L55*1000000/AX$7,"")</f>
        <v/>
      </c>
      <c r="AY61" s="604">
        <f>IF(ISNUMBER(Vic!K55),Vic!K55*1000000/AY$7,"")</f>
        <v>1.3998963026813789</v>
      </c>
      <c r="AZ61" s="605">
        <f>IF(ISNUMBER(Vic!L55),Vic!L55*1000000/AZ$7,"")</f>
        <v>5.2009833325820801E-3</v>
      </c>
      <c r="BA61" s="606">
        <f>IF(ISNUMBER(WA!L55),WA!L55*1000000/BA$7,"")</f>
        <v>0</v>
      </c>
      <c r="BB61" s="606">
        <f>IF(ISNUMBER(WA!M55),WA!M55*1000000/BB$7,"")</f>
        <v>0.9420750009952884</v>
      </c>
      <c r="BC61" s="617">
        <f t="shared" si="1"/>
        <v>20.563296429738344</v>
      </c>
      <c r="BE61" s="604">
        <v>0</v>
      </c>
      <c r="BF61" s="606">
        <v>313.63253301419445</v>
      </c>
      <c r="BG61" s="606">
        <f>SUM([2]NT!M55:N55)</f>
        <v>0</v>
      </c>
      <c r="BH61" s="606">
        <v>449.93978070829553</v>
      </c>
      <c r="BI61" s="606">
        <v>7.8676063412907116E-2</v>
      </c>
      <c r="BJ61" s="606"/>
      <c r="BK61" s="606">
        <v>0.17676970336983155</v>
      </c>
      <c r="BL61" s="605">
        <v>30.207173888276159</v>
      </c>
    </row>
    <row r="62" spans="2:64">
      <c r="B62" s="903"/>
      <c r="C62" s="873"/>
      <c r="D62" s="602" t="s">
        <v>57</v>
      </c>
      <c r="E62" s="620" t="s">
        <v>162</v>
      </c>
      <c r="F62" s="154">
        <f>IF(ISNUMBER(ACT!K56),ACT!K56,"")</f>
        <v>0</v>
      </c>
      <c r="G62" s="591" t="s">
        <v>812</v>
      </c>
      <c r="H62" s="155">
        <f>IF(ISNUMBER(ACT!L56),ACT!L56,"")</f>
        <v>0</v>
      </c>
      <c r="I62" s="592" t="s">
        <v>812</v>
      </c>
      <c r="J62" s="155">
        <f>IF(ISNUMBER(NSW!K56),NSW!K56,"")</f>
        <v>0</v>
      </c>
      <c r="K62" s="591" t="s">
        <v>812</v>
      </c>
      <c r="L62" s="155">
        <f>IF(ISNUMBER(NSW!L56),NSW!L56,"")</f>
        <v>0</v>
      </c>
      <c r="M62" s="592" t="s">
        <v>812</v>
      </c>
      <c r="N62" s="154" t="str">
        <f>IF(ISNUMBER(NT!K56),NT!K56,"")</f>
        <v/>
      </c>
      <c r="O62" s="591" t="s">
        <v>812</v>
      </c>
      <c r="P62" s="155">
        <f>IF(ISNUMBER(NT!L56),NT!L56,"")</f>
        <v>0</v>
      </c>
      <c r="Q62" s="592" t="s">
        <v>812</v>
      </c>
      <c r="R62" s="154" t="str">
        <f>IF(ISNUMBER(Qld!K56),Qld!K56,"")</f>
        <v/>
      </c>
      <c r="S62" s="591" t="s">
        <v>812</v>
      </c>
      <c r="T62" s="155">
        <f>IF(ISNUMBER(Qld!L56),Qld!L56,"")</f>
        <v>15</v>
      </c>
      <c r="U62" s="592" t="s">
        <v>812</v>
      </c>
      <c r="V62" s="154" t="str">
        <f>IF(ISNUMBER(SA!K56),SA!K56,"")</f>
        <v/>
      </c>
      <c r="W62" s="591" t="s">
        <v>812</v>
      </c>
      <c r="X62" s="155">
        <f>IF(ISNUMBER(SA!L56),SA!L56,"")</f>
        <v>0</v>
      </c>
      <c r="Y62" s="592" t="s">
        <v>812</v>
      </c>
      <c r="Z62" s="154" t="str">
        <f>IF(ISNUMBER(TAS!K56),TAS!K56,"")</f>
        <v/>
      </c>
      <c r="AA62" s="591" t="s">
        <v>812</v>
      </c>
      <c r="AB62" s="155">
        <f>IF(ISNUMBER(TAS!L56),TAS!L56,"")</f>
        <v>3.5</v>
      </c>
      <c r="AC62" s="592" t="s">
        <v>812</v>
      </c>
      <c r="AD62" s="154">
        <f>IF(ISNUMBER(Vic!K56),Vic!K56,"")</f>
        <v>8.3999999999999991E-2</v>
      </c>
      <c r="AE62" s="595" t="s">
        <v>812</v>
      </c>
      <c r="AF62" s="155">
        <f>IF(ISNUMBER(Vic!L56),Vic!L56,"")</f>
        <v>1.08</v>
      </c>
      <c r="AG62" s="594" t="s">
        <v>812</v>
      </c>
      <c r="AH62" s="154">
        <f>IF(ISNUMBER(WA!L56),WA!L56,"")</f>
        <v>0.185</v>
      </c>
      <c r="AI62" s="591" t="s">
        <v>812</v>
      </c>
      <c r="AJ62" s="155">
        <f>IF(ISNUMBER(WA!M56),WA!M56,"")</f>
        <v>1.4999999999999999E-2</v>
      </c>
      <c r="AK62" s="592" t="s">
        <v>812</v>
      </c>
      <c r="AL62" s="768"/>
      <c r="AM62" s="604">
        <f>IF(ISNUMBER(ACT!K56),ACT!K56*1000000/AM$7,"")</f>
        <v>0</v>
      </c>
      <c r="AN62" s="605">
        <f>IF(ISNUMBER(ACT!L56),ACT!L56*1000000/AN$7,"")</f>
        <v>0</v>
      </c>
      <c r="AO62" s="606">
        <f>IF(ISNUMBER(NSW!K56),NSW!K56*1000000/AO$7,"")</f>
        <v>0</v>
      </c>
      <c r="AP62" s="606">
        <f>IF(ISNUMBER(NSW!L56),NSW!L56*1000000/AP$7,"")</f>
        <v>0</v>
      </c>
      <c r="AQ62" s="604" t="str">
        <f>IF(ISNUMBER(NT!K56),NT!K56*1000000/AQ$7,"")</f>
        <v/>
      </c>
      <c r="AR62" s="605">
        <f>IF(ISNUMBER(NT!L56),NT!L56*1000000/AR$7,"")</f>
        <v>0</v>
      </c>
      <c r="AS62" s="604" t="str">
        <f>IF(ISNUMBER(Qld!K56),Qld!K56*1000000/AS$7,"")</f>
        <v/>
      </c>
      <c r="AT62" s="605">
        <f>IF(ISNUMBER(Qld!L56),Qld!L56*1000000/AT$7,"")</f>
        <v>3.2088286427745842</v>
      </c>
      <c r="AU62" s="604" t="str">
        <f>IF(ISNUMBER(SA!K56),SA!K56*1000000/AU$7,"")</f>
        <v/>
      </c>
      <c r="AV62" s="605">
        <f>IF(ISNUMBER(SA!L56),SA!L56*1000000/AV$7,"")</f>
        <v>0</v>
      </c>
      <c r="AW62" s="606" t="str">
        <f>IF(ISNUMBER(TAS!K56),TAS!K56*1000000/AW$7,"")</f>
        <v/>
      </c>
      <c r="AX62" s="606">
        <f>IF(ISNUMBER(TAS!L56),TAS!L56*1000000/AX$7,"")</f>
        <v>6.8172964550058435</v>
      </c>
      <c r="AY62" s="604">
        <f>IF(ISNUMBER(Vic!K56),Vic!K56*1000000/AY$7,"")</f>
        <v>1.4698911178154476E-2</v>
      </c>
      <c r="AZ62" s="605">
        <f>IF(ISNUMBER(Vic!L56),Vic!L56*1000000/AZ$7,"")</f>
        <v>0.18723539997295488</v>
      </c>
      <c r="BA62" s="606">
        <f>IF(ISNUMBER(WA!L56),WA!L56*1000000/BA$7,"")</f>
        <v>7.3928584986902648E-2</v>
      </c>
      <c r="BB62" s="606">
        <f>IF(ISNUMBER(WA!M56),WA!M56*1000000/BB$7,"")</f>
        <v>5.9126046087570406E-3</v>
      </c>
      <c r="BC62" s="617">
        <f t="shared" si="1"/>
        <v>0.85899171654393303</v>
      </c>
      <c r="BE62" s="604">
        <v>0</v>
      </c>
      <c r="BF62" s="606">
        <v>13.301973517053298</v>
      </c>
      <c r="BG62" s="606">
        <f>SUM([2]NT!M56:N56)</f>
        <v>0</v>
      </c>
      <c r="BH62" s="606">
        <v>198.70881365911106</v>
      </c>
      <c r="BI62" s="606">
        <v>1.4509630068671018</v>
      </c>
      <c r="BJ62" s="606">
        <v>0</v>
      </c>
      <c r="BK62" s="606">
        <v>5.1320278854724215</v>
      </c>
      <c r="BL62" s="605">
        <v>114.82058846061597</v>
      </c>
    </row>
    <row r="63" spans="2:64">
      <c r="B63" s="903"/>
      <c r="C63" s="873"/>
      <c r="D63" s="602" t="s">
        <v>120</v>
      </c>
      <c r="E63" s="620" t="s">
        <v>119</v>
      </c>
      <c r="F63" s="154">
        <f>IF(ISNUMBER(ACT!K57),ACT!K57,"")</f>
        <v>0</v>
      </c>
      <c r="G63" s="591" t="s">
        <v>812</v>
      </c>
      <c r="H63" s="155">
        <f>IF(ISNUMBER(ACT!L57),ACT!L57,"")</f>
        <v>0</v>
      </c>
      <c r="I63" s="592" t="s">
        <v>812</v>
      </c>
      <c r="J63" s="155">
        <f>IF(ISNUMBER(NSW!K57),NSW!K57,"")</f>
        <v>0</v>
      </c>
      <c r="K63" s="591" t="s">
        <v>812</v>
      </c>
      <c r="L63" s="155">
        <f>IF(ISNUMBER(NSW!L57),NSW!L57,"")</f>
        <v>0</v>
      </c>
      <c r="M63" s="592" t="s">
        <v>812</v>
      </c>
      <c r="N63" s="154" t="str">
        <f>IF(ISNUMBER(NT!K57),NT!K57,"")</f>
        <v/>
      </c>
      <c r="O63" s="591" t="s">
        <v>812</v>
      </c>
      <c r="P63" s="155">
        <f>IF(ISNUMBER(NT!L57),NT!L57,"")</f>
        <v>0</v>
      </c>
      <c r="Q63" s="592" t="s">
        <v>812</v>
      </c>
      <c r="R63" s="154" t="str">
        <f>IF(ISNUMBER(Qld!K57),Qld!K57,"")</f>
        <v/>
      </c>
      <c r="S63" s="591" t="s">
        <v>812</v>
      </c>
      <c r="T63" s="155">
        <f>IF(ISNUMBER(Qld!L57),Qld!L57,"")</f>
        <v>0</v>
      </c>
      <c r="U63" s="592" t="s">
        <v>812</v>
      </c>
      <c r="V63" s="154" t="str">
        <f>IF(ISNUMBER(SA!K57),SA!K57,"")</f>
        <v/>
      </c>
      <c r="W63" s="591" t="s">
        <v>812</v>
      </c>
      <c r="X63" s="155">
        <f>IF(ISNUMBER(SA!L57),SA!L57,"")</f>
        <v>0</v>
      </c>
      <c r="Y63" s="592" t="s">
        <v>812</v>
      </c>
      <c r="Z63" s="154" t="str">
        <f>IF(ISNUMBER(TAS!K57),TAS!K57,"")</f>
        <v/>
      </c>
      <c r="AA63" s="591" t="s">
        <v>812</v>
      </c>
      <c r="AB63" s="155" t="str">
        <f>IF(ISNUMBER(TAS!L57),TAS!L57,"")</f>
        <v/>
      </c>
      <c r="AC63" s="592" t="s">
        <v>812</v>
      </c>
      <c r="AD63" s="154" t="str">
        <f>IF(ISNUMBER(Vic!K57),Vic!K57,"")</f>
        <v/>
      </c>
      <c r="AE63" s="595" t="s">
        <v>812</v>
      </c>
      <c r="AF63" s="155" t="str">
        <f>IF(ISNUMBER(Vic!L57),Vic!L57,"")</f>
        <v/>
      </c>
      <c r="AG63" s="594" t="s">
        <v>812</v>
      </c>
      <c r="AH63" s="154">
        <f>IF(ISNUMBER(WA!L57),WA!L57,"")</f>
        <v>0</v>
      </c>
      <c r="AI63" s="591" t="s">
        <v>812</v>
      </c>
      <c r="AJ63" s="155">
        <f>IF(ISNUMBER(WA!M57),WA!M57,"")</f>
        <v>0</v>
      </c>
      <c r="AK63" s="592" t="s">
        <v>812</v>
      </c>
      <c r="AL63" s="768"/>
      <c r="AM63" s="604">
        <f>IF(ISNUMBER(ACT!K57),ACT!K57*1000000/AM$7,"")</f>
        <v>0</v>
      </c>
      <c r="AN63" s="605">
        <f>IF(ISNUMBER(ACT!L57),ACT!L57*1000000/AN$7,"")</f>
        <v>0</v>
      </c>
      <c r="AO63" s="606">
        <f>IF(ISNUMBER(NSW!K57),NSW!K57*1000000/AO$7,"")</f>
        <v>0</v>
      </c>
      <c r="AP63" s="606">
        <f>IF(ISNUMBER(NSW!L57),NSW!L57*1000000/AP$7,"")</f>
        <v>0</v>
      </c>
      <c r="AQ63" s="604" t="str">
        <f>IF(ISNUMBER(NT!K57),NT!K57*1000000/AQ$7,"")</f>
        <v/>
      </c>
      <c r="AR63" s="605">
        <f>IF(ISNUMBER(NT!L57),NT!L57*1000000/AR$7,"")</f>
        <v>0</v>
      </c>
      <c r="AS63" s="604" t="str">
        <f>IF(ISNUMBER(Qld!K57),Qld!K57*1000000/AS$7,"")</f>
        <v/>
      </c>
      <c r="AT63" s="605">
        <f>IF(ISNUMBER(Qld!L57),Qld!L57*1000000/AT$7,"")</f>
        <v>0</v>
      </c>
      <c r="AU63" s="604" t="str">
        <f>IF(ISNUMBER(SA!K57),SA!K57*1000000/AU$7,"")</f>
        <v/>
      </c>
      <c r="AV63" s="605">
        <f>IF(ISNUMBER(SA!L57),SA!L57*1000000/AV$7,"")</f>
        <v>0</v>
      </c>
      <c r="AW63" s="606" t="str">
        <f>IF(ISNUMBER(TAS!K57),TAS!K57*1000000/AW$7,"")</f>
        <v/>
      </c>
      <c r="AX63" s="606" t="str">
        <f>IF(ISNUMBER(TAS!L57),TAS!L57*1000000/AX$7,"")</f>
        <v/>
      </c>
      <c r="AY63" s="604" t="str">
        <f>IF(ISNUMBER(Vic!K57),Vic!K57*1000000/AY$7,"")</f>
        <v/>
      </c>
      <c r="AZ63" s="605" t="str">
        <f>IF(ISNUMBER(Vic!L57),Vic!L57*1000000/AZ$7,"")</f>
        <v/>
      </c>
      <c r="BA63" s="606">
        <f>IF(ISNUMBER(WA!L57),WA!L57*1000000/BA$7,"")</f>
        <v>0</v>
      </c>
      <c r="BB63" s="606">
        <f>IF(ISNUMBER(WA!M57),WA!M57*1000000/BB$7,"")</f>
        <v>0</v>
      </c>
      <c r="BC63" s="617">
        <f t="shared" si="1"/>
        <v>0</v>
      </c>
      <c r="BE63" s="604">
        <v>0</v>
      </c>
      <c r="BF63" s="606">
        <v>0</v>
      </c>
      <c r="BG63" s="606">
        <f>SUM([2]NT!M57:N57)</f>
        <v>0</v>
      </c>
      <c r="BH63" s="606">
        <v>5.2522153390073409</v>
      </c>
      <c r="BI63" s="606">
        <v>0</v>
      </c>
      <c r="BJ63" s="606"/>
      <c r="BK63" s="606"/>
      <c r="BL63" s="605"/>
    </row>
    <row r="64" spans="2:64">
      <c r="B64" s="903"/>
      <c r="C64" s="873"/>
      <c r="D64" s="602" t="s">
        <v>122</v>
      </c>
      <c r="E64" s="620" t="s">
        <v>121</v>
      </c>
      <c r="F64" s="154">
        <f>IF(ISNUMBER(ACT!K58),ACT!K58,"")</f>
        <v>0</v>
      </c>
      <c r="G64" s="591" t="s">
        <v>812</v>
      </c>
      <c r="H64" s="155">
        <f>IF(ISNUMBER(ACT!L58),ACT!L58,"")</f>
        <v>0</v>
      </c>
      <c r="I64" s="592" t="s">
        <v>812</v>
      </c>
      <c r="J64" s="155">
        <f>IF(ISNUMBER(NSW!K58),NSW!K58,"")</f>
        <v>0</v>
      </c>
      <c r="K64" s="591" t="s">
        <v>812</v>
      </c>
      <c r="L64" s="155">
        <f>IF(ISNUMBER(NSW!L58),NSW!L58,"")</f>
        <v>0</v>
      </c>
      <c r="M64" s="592" t="s">
        <v>812</v>
      </c>
      <c r="N64" s="154" t="str">
        <f>IF(ISNUMBER(NT!K58),NT!K58,"")</f>
        <v/>
      </c>
      <c r="O64" s="591" t="s">
        <v>812</v>
      </c>
      <c r="P64" s="155">
        <f>IF(ISNUMBER(NT!L58),NT!L58,"")</f>
        <v>0</v>
      </c>
      <c r="Q64" s="592" t="s">
        <v>812</v>
      </c>
      <c r="R64" s="154" t="str">
        <f>IF(ISNUMBER(Qld!K58),Qld!K58,"")</f>
        <v/>
      </c>
      <c r="S64" s="591" t="s">
        <v>812</v>
      </c>
      <c r="T64" s="155">
        <f>IF(ISNUMBER(Qld!L58),Qld!L58,"")</f>
        <v>0</v>
      </c>
      <c r="U64" s="592" t="s">
        <v>812</v>
      </c>
      <c r="V64" s="154" t="str">
        <f>IF(ISNUMBER(SA!K58),SA!K58,"")</f>
        <v/>
      </c>
      <c r="W64" s="591" t="s">
        <v>812</v>
      </c>
      <c r="X64" s="155">
        <f>IF(ISNUMBER(SA!L58),SA!L58,"")</f>
        <v>0</v>
      </c>
      <c r="Y64" s="592" t="s">
        <v>812</v>
      </c>
      <c r="Z64" s="154" t="str">
        <f>IF(ISNUMBER(TAS!K58),TAS!K58,"")</f>
        <v/>
      </c>
      <c r="AA64" s="591" t="s">
        <v>812</v>
      </c>
      <c r="AB64" s="155" t="str">
        <f>IF(ISNUMBER(TAS!L58),TAS!L58,"")</f>
        <v/>
      </c>
      <c r="AC64" s="592" t="s">
        <v>812</v>
      </c>
      <c r="AD64" s="154" t="str">
        <f>IF(ISNUMBER(Vic!K58),Vic!K58,"")</f>
        <v/>
      </c>
      <c r="AE64" s="595" t="s">
        <v>812</v>
      </c>
      <c r="AF64" s="155" t="str">
        <f>IF(ISNUMBER(Vic!L58),Vic!L58,"")</f>
        <v/>
      </c>
      <c r="AG64" s="594" t="s">
        <v>812</v>
      </c>
      <c r="AH64" s="154">
        <f>IF(ISNUMBER(WA!L58),WA!L58,"")</f>
        <v>0</v>
      </c>
      <c r="AI64" s="591" t="s">
        <v>812</v>
      </c>
      <c r="AJ64" s="155">
        <f>IF(ISNUMBER(WA!M58),WA!M58,"")</f>
        <v>0</v>
      </c>
      <c r="AK64" s="592" t="s">
        <v>812</v>
      </c>
      <c r="AL64" s="768"/>
      <c r="AM64" s="604">
        <f>IF(ISNUMBER(ACT!K58),ACT!K58*1000000/AM$7,"")</f>
        <v>0</v>
      </c>
      <c r="AN64" s="605">
        <f>IF(ISNUMBER(ACT!L58),ACT!L58*1000000/AN$7,"")</f>
        <v>0</v>
      </c>
      <c r="AO64" s="606">
        <f>IF(ISNUMBER(NSW!K58),NSW!K58*1000000/AO$7,"")</f>
        <v>0</v>
      </c>
      <c r="AP64" s="606">
        <f>IF(ISNUMBER(NSW!L58),NSW!L58*1000000/AP$7,"")</f>
        <v>0</v>
      </c>
      <c r="AQ64" s="604" t="str">
        <f>IF(ISNUMBER(NT!K58),NT!K58*1000000/AQ$7,"")</f>
        <v/>
      </c>
      <c r="AR64" s="605">
        <f>IF(ISNUMBER(NT!L58),NT!L58*1000000/AR$7,"")</f>
        <v>0</v>
      </c>
      <c r="AS64" s="604" t="str">
        <f>IF(ISNUMBER(Qld!K58),Qld!K58*1000000/AS$7,"")</f>
        <v/>
      </c>
      <c r="AT64" s="605">
        <f>IF(ISNUMBER(Qld!L58),Qld!L58*1000000/AT$7,"")</f>
        <v>0</v>
      </c>
      <c r="AU64" s="604" t="str">
        <f>IF(ISNUMBER(SA!K58),SA!K58*1000000/AU$7,"")</f>
        <v/>
      </c>
      <c r="AV64" s="605">
        <f>IF(ISNUMBER(SA!L58),SA!L58*1000000/AV$7,"")</f>
        <v>0</v>
      </c>
      <c r="AW64" s="606" t="str">
        <f>IF(ISNUMBER(TAS!K58),TAS!K58*1000000/AW$7,"")</f>
        <v/>
      </c>
      <c r="AX64" s="606" t="str">
        <f>IF(ISNUMBER(TAS!L58),TAS!L58*1000000/AX$7,"")</f>
        <v/>
      </c>
      <c r="AY64" s="604" t="str">
        <f>IF(ISNUMBER(Vic!K58),Vic!K58*1000000/AY$7,"")</f>
        <v/>
      </c>
      <c r="AZ64" s="605" t="str">
        <f>IF(ISNUMBER(Vic!L58),Vic!L58*1000000/AZ$7,"")</f>
        <v/>
      </c>
      <c r="BA64" s="606">
        <f>IF(ISNUMBER(WA!L58),WA!L58*1000000/BA$7,"")</f>
        <v>0</v>
      </c>
      <c r="BB64" s="606">
        <f>IF(ISNUMBER(WA!M58),WA!M58*1000000/BB$7,"")</f>
        <v>0</v>
      </c>
      <c r="BC64" s="617">
        <f t="shared" si="1"/>
        <v>0</v>
      </c>
      <c r="BE64" s="604">
        <v>0</v>
      </c>
      <c r="BF64" s="606">
        <v>0</v>
      </c>
      <c r="BG64" s="606">
        <f>SUM([2]NT!M58:N58)</f>
        <v>0</v>
      </c>
      <c r="BH64" s="606">
        <v>0</v>
      </c>
      <c r="BI64" s="606">
        <v>0</v>
      </c>
      <c r="BJ64" s="606"/>
      <c r="BK64" s="606"/>
      <c r="BL64" s="605"/>
    </row>
    <row r="65" spans="2:64">
      <c r="B65" s="903"/>
      <c r="C65" s="873"/>
      <c r="D65" s="602" t="s">
        <v>124</v>
      </c>
      <c r="E65" s="620" t="s">
        <v>123</v>
      </c>
      <c r="F65" s="154">
        <f>IF(ISNUMBER(ACT!K59),ACT!K59,"")</f>
        <v>0</v>
      </c>
      <c r="G65" s="591" t="s">
        <v>812</v>
      </c>
      <c r="H65" s="155">
        <f>IF(ISNUMBER(ACT!L59),ACT!L59,"")</f>
        <v>0</v>
      </c>
      <c r="I65" s="592" t="s">
        <v>812</v>
      </c>
      <c r="J65" s="155">
        <f>IF(ISNUMBER(NSW!K59),NSW!K59,"")</f>
        <v>0</v>
      </c>
      <c r="K65" s="591" t="s">
        <v>812</v>
      </c>
      <c r="L65" s="155">
        <f>IF(ISNUMBER(NSW!L59),NSW!L59,"")</f>
        <v>0</v>
      </c>
      <c r="M65" s="592" t="s">
        <v>812</v>
      </c>
      <c r="N65" s="154" t="str">
        <f>IF(ISNUMBER(NT!K59),NT!K59,"")</f>
        <v/>
      </c>
      <c r="O65" s="591" t="s">
        <v>812</v>
      </c>
      <c r="P65" s="155">
        <f>IF(ISNUMBER(NT!L59),NT!L59,"")</f>
        <v>0</v>
      </c>
      <c r="Q65" s="592" t="s">
        <v>812</v>
      </c>
      <c r="R65" s="154" t="str">
        <f>IF(ISNUMBER(Qld!K59),Qld!K59,"")</f>
        <v/>
      </c>
      <c r="S65" s="591" t="s">
        <v>812</v>
      </c>
      <c r="T65" s="155">
        <f>IF(ISNUMBER(Qld!L59),Qld!L59,"")</f>
        <v>9</v>
      </c>
      <c r="U65" s="592" t="s">
        <v>812</v>
      </c>
      <c r="V65" s="154" t="str">
        <f>IF(ISNUMBER(SA!K59),SA!K59,"")</f>
        <v/>
      </c>
      <c r="W65" s="591" t="s">
        <v>812</v>
      </c>
      <c r="X65" s="155">
        <f>IF(ISNUMBER(SA!L59),SA!L59,"")</f>
        <v>0</v>
      </c>
      <c r="Y65" s="592" t="s">
        <v>812</v>
      </c>
      <c r="Z65" s="154" t="str">
        <f>IF(ISNUMBER(TAS!K59),TAS!K59,"")</f>
        <v/>
      </c>
      <c r="AA65" s="591" t="s">
        <v>812</v>
      </c>
      <c r="AB65" s="155" t="str">
        <f>IF(ISNUMBER(TAS!L59),TAS!L59,"")</f>
        <v/>
      </c>
      <c r="AC65" s="592" t="s">
        <v>812</v>
      </c>
      <c r="AD65" s="154" t="str">
        <f>IF(ISNUMBER(Vic!K59),Vic!K59,"")</f>
        <v/>
      </c>
      <c r="AE65" s="595" t="s">
        <v>812</v>
      </c>
      <c r="AF65" s="155" t="str">
        <f>IF(ISNUMBER(Vic!L59),Vic!L59,"")</f>
        <v/>
      </c>
      <c r="AG65" s="594" t="s">
        <v>812</v>
      </c>
      <c r="AH65" s="154">
        <f>IF(ISNUMBER(WA!L59),WA!L59,"")</f>
        <v>2</v>
      </c>
      <c r="AI65" s="591" t="s">
        <v>812</v>
      </c>
      <c r="AJ65" s="155">
        <f>IF(ISNUMBER(WA!M59),WA!M59,"")</f>
        <v>0</v>
      </c>
      <c r="AK65" s="592" t="s">
        <v>812</v>
      </c>
      <c r="AL65" s="768"/>
      <c r="AM65" s="604">
        <f>IF(ISNUMBER(ACT!K59),ACT!K59*1000000/AM$7,"")</f>
        <v>0</v>
      </c>
      <c r="AN65" s="605">
        <f>IF(ISNUMBER(ACT!L59),ACT!L59*1000000/AN$7,"")</f>
        <v>0</v>
      </c>
      <c r="AO65" s="606">
        <f>IF(ISNUMBER(NSW!K59),NSW!K59*1000000/AO$7,"")</f>
        <v>0</v>
      </c>
      <c r="AP65" s="606">
        <f>IF(ISNUMBER(NSW!L59),NSW!L59*1000000/AP$7,"")</f>
        <v>0</v>
      </c>
      <c r="AQ65" s="604" t="str">
        <f>IF(ISNUMBER(NT!K59),NT!K59*1000000/AQ$7,"")</f>
        <v/>
      </c>
      <c r="AR65" s="605">
        <f>IF(ISNUMBER(NT!L59),NT!L59*1000000/AR$7,"")</f>
        <v>0</v>
      </c>
      <c r="AS65" s="604" t="str">
        <f>IF(ISNUMBER(Qld!K59),Qld!K59*1000000/AS$7,"")</f>
        <v/>
      </c>
      <c r="AT65" s="605">
        <f>IF(ISNUMBER(Qld!L59),Qld!L59*1000000/AT$7,"")</f>
        <v>1.9252971856647505</v>
      </c>
      <c r="AU65" s="604" t="str">
        <f>IF(ISNUMBER(SA!K59),SA!K59*1000000/AU$7,"")</f>
        <v/>
      </c>
      <c r="AV65" s="605">
        <f>IF(ISNUMBER(SA!L59),SA!L59*1000000/AV$7,"")</f>
        <v>0</v>
      </c>
      <c r="AW65" s="606" t="str">
        <f>IF(ISNUMBER(TAS!K59),TAS!K59*1000000/AW$7,"")</f>
        <v/>
      </c>
      <c r="AX65" s="606" t="str">
        <f>IF(ISNUMBER(TAS!L59),TAS!L59*1000000/AX$7,"")</f>
        <v/>
      </c>
      <c r="AY65" s="604" t="str">
        <f>IF(ISNUMBER(Vic!K59),Vic!K59*1000000/AY$7,"")</f>
        <v/>
      </c>
      <c r="AZ65" s="605" t="str">
        <f>IF(ISNUMBER(Vic!L59),Vic!L59*1000000/AZ$7,"")</f>
        <v/>
      </c>
      <c r="BA65" s="606">
        <f>IF(ISNUMBER(WA!L59),WA!L59*1000000/BA$7,"")</f>
        <v>0.79922794580435297</v>
      </c>
      <c r="BB65" s="606">
        <f>IF(ISNUMBER(WA!M59),WA!M59*1000000/BB$7,"")</f>
        <v>0</v>
      </c>
      <c r="BC65" s="617">
        <f t="shared" si="1"/>
        <v>0.30272501460767814</v>
      </c>
      <c r="BE65" s="604">
        <v>0</v>
      </c>
      <c r="BF65" s="606">
        <v>0</v>
      </c>
      <c r="BG65" s="606">
        <f>SUM([2]NT!M59:N59)</f>
        <v>0</v>
      </c>
      <c r="BH65" s="606">
        <v>0</v>
      </c>
      <c r="BI65" s="606">
        <v>0</v>
      </c>
      <c r="BJ65" s="606"/>
      <c r="BK65" s="606"/>
      <c r="BL65" s="605">
        <v>0</v>
      </c>
    </row>
    <row r="66" spans="2:64">
      <c r="B66" s="903"/>
      <c r="C66" s="873"/>
      <c r="D66" s="602" t="s">
        <v>58</v>
      </c>
      <c r="E66" s="620" t="s">
        <v>136</v>
      </c>
      <c r="F66" s="154">
        <f>IF(ISNUMBER(ACT!K60),ACT!K60,"")</f>
        <v>0</v>
      </c>
      <c r="G66" s="591" t="s">
        <v>812</v>
      </c>
      <c r="H66" s="155">
        <f>IF(ISNUMBER(ACT!L60),ACT!L60,"")</f>
        <v>0</v>
      </c>
      <c r="I66" s="592" t="s">
        <v>812</v>
      </c>
      <c r="J66" s="155">
        <f>IF(ISNUMBER(NSW!K60),NSW!K60,"")</f>
        <v>39.077000000000005</v>
      </c>
      <c r="K66" s="591" t="s">
        <v>812</v>
      </c>
      <c r="L66" s="155">
        <f>IF(ISNUMBER(NSW!L60),NSW!L60,"")</f>
        <v>10.1425</v>
      </c>
      <c r="M66" s="592" t="s">
        <v>812</v>
      </c>
      <c r="N66" s="154" t="str">
        <f>IF(ISNUMBER(NT!K60),NT!K60,"")</f>
        <v/>
      </c>
      <c r="O66" s="591" t="s">
        <v>812</v>
      </c>
      <c r="P66" s="155">
        <f>IF(ISNUMBER(NT!L60),NT!L60,"")</f>
        <v>0</v>
      </c>
      <c r="Q66" s="592" t="s">
        <v>812</v>
      </c>
      <c r="R66" s="154" t="str">
        <f>IF(ISNUMBER(Qld!K60),Qld!K60,"")</f>
        <v/>
      </c>
      <c r="S66" s="591" t="s">
        <v>812</v>
      </c>
      <c r="T66" s="155">
        <f>IF(ISNUMBER(Qld!L60),Qld!L60,"")</f>
        <v>37</v>
      </c>
      <c r="U66" s="592" t="s">
        <v>812</v>
      </c>
      <c r="V66" s="154" t="str">
        <f>IF(ISNUMBER(SA!K60),SA!K60,"")</f>
        <v/>
      </c>
      <c r="W66" s="591" t="s">
        <v>812</v>
      </c>
      <c r="X66" s="155">
        <f>IF(ISNUMBER(SA!L60),SA!L60,"")</f>
        <v>0.05</v>
      </c>
      <c r="Y66" s="592" t="s">
        <v>812</v>
      </c>
      <c r="Z66" s="154" t="str">
        <f>IF(ISNUMBER(TAS!K60),TAS!K60,"")</f>
        <v/>
      </c>
      <c r="AA66" s="591" t="s">
        <v>812</v>
      </c>
      <c r="AB66" s="155" t="str">
        <f>IF(ISNUMBER(TAS!L60),TAS!L60,"")</f>
        <v/>
      </c>
      <c r="AC66" s="592" t="s">
        <v>812</v>
      </c>
      <c r="AD66" s="154">
        <f>IF(ISNUMBER(Vic!K60),Vic!K60,"")</f>
        <v>7.351</v>
      </c>
      <c r="AE66" s="595" t="s">
        <v>812</v>
      </c>
      <c r="AF66" s="155">
        <f>IF(ISNUMBER(Vic!L60),Vic!L60,"")</f>
        <v>15.200000000000001</v>
      </c>
      <c r="AG66" s="594" t="s">
        <v>812</v>
      </c>
      <c r="AH66" s="154">
        <f>IF(ISNUMBER(WA!L60),WA!L60,"")</f>
        <v>18.625</v>
      </c>
      <c r="AI66" s="591" t="s">
        <v>812</v>
      </c>
      <c r="AJ66" s="155">
        <f>IF(ISNUMBER(WA!M60),WA!M60,"")</f>
        <v>3.4969999999999999</v>
      </c>
      <c r="AK66" s="592" t="s">
        <v>812</v>
      </c>
      <c r="AL66" s="768"/>
      <c r="AM66" s="604">
        <f>IF(ISNUMBER(ACT!K60),ACT!K60*1000000/AM$7,"")</f>
        <v>0</v>
      </c>
      <c r="AN66" s="605">
        <f>IF(ISNUMBER(ACT!L60),ACT!L60*1000000/AN$7,"")</f>
        <v>0</v>
      </c>
      <c r="AO66" s="606">
        <f>IF(ISNUMBER(NSW!K60),NSW!K60*1000000/AO$7,"")</f>
        <v>5.2929467289299366</v>
      </c>
      <c r="AP66" s="606">
        <f>IF(ISNUMBER(NSW!L60),NSW!L60*1000000/AP$7,"")</f>
        <v>1.3635370628665535</v>
      </c>
      <c r="AQ66" s="604" t="str">
        <f>IF(ISNUMBER(NT!K60),NT!K60*1000000/AQ$7,"")</f>
        <v/>
      </c>
      <c r="AR66" s="605">
        <f>IF(ISNUMBER(NT!L60),NT!L60*1000000/AR$7,"")</f>
        <v>0</v>
      </c>
      <c r="AS66" s="604" t="str">
        <f>IF(ISNUMBER(Qld!K60),Qld!K60*1000000/AS$7,"")</f>
        <v/>
      </c>
      <c r="AT66" s="605">
        <f>IF(ISNUMBER(Qld!L60),Qld!L60*1000000/AT$7,"")</f>
        <v>7.915110652177308</v>
      </c>
      <c r="AU66" s="604" t="str">
        <f>IF(ISNUMBER(SA!K60),SA!K60*1000000/AU$7,"")</f>
        <v/>
      </c>
      <c r="AV66" s="605">
        <f>IF(ISNUMBER(SA!L60),SA!L60*1000000/AV$7,"")</f>
        <v>2.985867887289459E-2</v>
      </c>
      <c r="AW66" s="606" t="str">
        <f>IF(ISNUMBER(TAS!K60),TAS!K60*1000000/AW$7,"")</f>
        <v/>
      </c>
      <c r="AX66" s="606" t="str">
        <f>IF(ISNUMBER(TAS!L60),TAS!L60*1000000/AX$7,"")</f>
        <v/>
      </c>
      <c r="AY66" s="604">
        <f>IF(ISNUMBER(Vic!K60),Vic!K60*1000000/AY$7,"")</f>
        <v>1.286329715126352</v>
      </c>
      <c r="AZ66" s="605">
        <f>IF(ISNUMBER(Vic!L60),Vic!L60*1000000/AZ$7,"")</f>
        <v>2.6351648885082541</v>
      </c>
      <c r="BA66" s="606">
        <f>IF(ISNUMBER(WA!L60),WA!L60*1000000/BA$7,"")</f>
        <v>7.4428102453030371</v>
      </c>
      <c r="BB66" s="606">
        <f>IF(ISNUMBER(WA!M60),WA!M60*1000000/BB$7,"")</f>
        <v>1.378425221121558</v>
      </c>
      <c r="BC66" s="617">
        <f t="shared" si="1"/>
        <v>2.4858348357187174</v>
      </c>
      <c r="BE66" s="604">
        <v>0</v>
      </c>
      <c r="BF66" s="606">
        <v>217.16715311124739</v>
      </c>
      <c r="BG66" s="606">
        <f>SUM([2]NT!M60:N60)</f>
        <v>0</v>
      </c>
      <c r="BH66" s="606">
        <v>0</v>
      </c>
      <c r="BI66" s="606">
        <v>1.4701903836293095</v>
      </c>
      <c r="BJ66" s="606"/>
      <c r="BK66" s="606">
        <v>4.0899557504321766</v>
      </c>
      <c r="BL66" s="605">
        <v>13.37237329974065</v>
      </c>
    </row>
    <row r="67" spans="2:64">
      <c r="B67" s="903"/>
      <c r="C67" s="873"/>
      <c r="D67" s="602" t="s">
        <v>59</v>
      </c>
      <c r="E67" s="620" t="s">
        <v>125</v>
      </c>
      <c r="F67" s="154">
        <f>IF(ISNUMBER(ACT!K61),ACT!K61,"")</f>
        <v>0</v>
      </c>
      <c r="G67" s="591" t="s">
        <v>812</v>
      </c>
      <c r="H67" s="155">
        <f>IF(ISNUMBER(ACT!L61),ACT!L61,"")</f>
        <v>0</v>
      </c>
      <c r="I67" s="592" t="s">
        <v>812</v>
      </c>
      <c r="J67" s="155">
        <f>IF(ISNUMBER(NSW!K61),NSW!K61,"")</f>
        <v>0</v>
      </c>
      <c r="K67" s="591" t="s">
        <v>812</v>
      </c>
      <c r="L67" s="155">
        <f>IF(ISNUMBER(NSW!L61),NSW!L61,"")</f>
        <v>0</v>
      </c>
      <c r="M67" s="592" t="s">
        <v>812</v>
      </c>
      <c r="N67" s="154" t="str">
        <f>IF(ISNUMBER(NT!K61),NT!K61,"")</f>
        <v/>
      </c>
      <c r="O67" s="591" t="s">
        <v>812</v>
      </c>
      <c r="P67" s="155">
        <f>IF(ISNUMBER(NT!L61),NT!L61,"")</f>
        <v>0</v>
      </c>
      <c r="Q67" s="592" t="s">
        <v>812</v>
      </c>
      <c r="R67" s="154" t="str">
        <f>IF(ISNUMBER(Qld!K61),Qld!K61,"")</f>
        <v/>
      </c>
      <c r="S67" s="591" t="s">
        <v>812</v>
      </c>
      <c r="T67" s="155">
        <f>IF(ISNUMBER(Qld!L61),Qld!L61,"")</f>
        <v>391</v>
      </c>
      <c r="U67" s="592" t="s">
        <v>812</v>
      </c>
      <c r="V67" s="154" t="str">
        <f>IF(ISNUMBER(SA!K61),SA!K61,"")</f>
        <v/>
      </c>
      <c r="W67" s="591" t="s">
        <v>812</v>
      </c>
      <c r="X67" s="155">
        <f>IF(ISNUMBER(SA!L61),SA!L61,"")</f>
        <v>2423.56</v>
      </c>
      <c r="Y67" s="592" t="s">
        <v>812</v>
      </c>
      <c r="Z67" s="154" t="str">
        <f>IF(ISNUMBER(TAS!K61),TAS!K61,"")</f>
        <v/>
      </c>
      <c r="AA67" s="591" t="s">
        <v>812</v>
      </c>
      <c r="AB67" s="155">
        <f>IF(ISNUMBER(TAS!L61),TAS!L61,"")</f>
        <v>2</v>
      </c>
      <c r="AC67" s="592" t="s">
        <v>812</v>
      </c>
      <c r="AD67" s="154">
        <f>IF(ISNUMBER(Vic!K61),Vic!K61,"")</f>
        <v>49.975999999999999</v>
      </c>
      <c r="AE67" s="595" t="s">
        <v>812</v>
      </c>
      <c r="AF67" s="155">
        <f>IF(ISNUMBER(Vic!L61),Vic!L61,"")</f>
        <v>69.756</v>
      </c>
      <c r="AG67" s="594" t="s">
        <v>812</v>
      </c>
      <c r="AH67" s="154">
        <f>IF(ISNUMBER(WA!L61),WA!L61,"")</f>
        <v>0</v>
      </c>
      <c r="AI67" s="743"/>
      <c r="AJ67" s="155">
        <f>IF(ISNUMBER(WA!M61),WA!M61,"")</f>
        <v>0</v>
      </c>
      <c r="AK67" s="744"/>
      <c r="AL67" s="768"/>
      <c r="AM67" s="604">
        <f>IF(ISNUMBER(ACT!K61),ACT!K61*1000000/AM$7,"")</f>
        <v>0</v>
      </c>
      <c r="AN67" s="605">
        <f>IF(ISNUMBER(ACT!L61),ACT!L61*1000000/AN$7,"")</f>
        <v>0</v>
      </c>
      <c r="AO67" s="606">
        <f>IF(ISNUMBER(NSW!K61),NSW!K61*1000000/AO$7,"")</f>
        <v>0</v>
      </c>
      <c r="AP67" s="606">
        <f>IF(ISNUMBER(NSW!L61),NSW!L61*1000000/AP$7,"")</f>
        <v>0</v>
      </c>
      <c r="AQ67" s="604" t="str">
        <f>IF(ISNUMBER(NT!K61),NT!K61*1000000/AQ$7,"")</f>
        <v/>
      </c>
      <c r="AR67" s="605">
        <f>IF(ISNUMBER(NT!L61),NT!L61*1000000/AR$7,"")</f>
        <v>0</v>
      </c>
      <c r="AS67" s="604" t="str">
        <f>IF(ISNUMBER(Qld!K61),Qld!K61*1000000/AS$7,"")</f>
        <v/>
      </c>
      <c r="AT67" s="605">
        <f>IF(ISNUMBER(Qld!L61),Qld!L61*1000000/AT$7,"")</f>
        <v>83.643466621657495</v>
      </c>
      <c r="AU67" s="604" t="str">
        <f>IF(ISNUMBER(SA!K61),SA!K61*1000000/AU$7,"")</f>
        <v/>
      </c>
      <c r="AV67" s="605">
        <f>IF(ISNUMBER(SA!L61),SA!L61*1000000/AV$7,"")</f>
        <v>1447.2859953838483</v>
      </c>
      <c r="AW67" s="606" t="str">
        <f>IF(ISNUMBER(TAS!K61),TAS!K61*1000000/AW$7,"")</f>
        <v/>
      </c>
      <c r="AX67" s="606">
        <f>IF(ISNUMBER(TAS!L61),TAS!L61*1000000/AX$7,"")</f>
        <v>3.8955979742890534</v>
      </c>
      <c r="AY67" s="604">
        <f>IF(ISNUMBER(Vic!K61),Vic!K61*1000000/AY$7,"")</f>
        <v>8.7451522028505746</v>
      </c>
      <c r="AZ67" s="605">
        <f>IF(ISNUMBER(Vic!L61),Vic!L61*1000000/AZ$7,"")</f>
        <v>12.093326444919853</v>
      </c>
      <c r="BA67" s="606">
        <f>IF(ISNUMBER(WA!L61),WA!L61*1000000/BA$7,"")</f>
        <v>0</v>
      </c>
      <c r="BB67" s="606">
        <f>IF(ISNUMBER(WA!M61),WA!M61*1000000/BB$7,"")</f>
        <v>0</v>
      </c>
      <c r="BC67" s="617">
        <f t="shared" si="1"/>
        <v>129.63862821896376</v>
      </c>
      <c r="BE67" s="604">
        <v>0</v>
      </c>
      <c r="BF67" s="606">
        <v>0</v>
      </c>
      <c r="BG67" s="606">
        <f>SUM([2]NT!M61:N61)</f>
        <v>0</v>
      </c>
      <c r="BH67" s="606">
        <v>10.504430678014682</v>
      </c>
      <c r="BI67" s="606">
        <v>1447.5169147211247</v>
      </c>
      <c r="BJ67" s="606">
        <v>0</v>
      </c>
      <c r="BK67" s="606">
        <v>16.996997340303533</v>
      </c>
      <c r="BL67" s="605"/>
    </row>
    <row r="68" spans="2:64">
      <c r="B68" s="903"/>
      <c r="C68" s="873"/>
      <c r="D68" s="602" t="s">
        <v>60</v>
      </c>
      <c r="E68" s="620" t="s">
        <v>163</v>
      </c>
      <c r="F68" s="154">
        <f>IF(ISNUMBER(ACT!K62),ACT!K62,"")</f>
        <v>0</v>
      </c>
      <c r="G68" s="591" t="s">
        <v>812</v>
      </c>
      <c r="H68" s="155">
        <f>IF(ISNUMBER(ACT!L62),ACT!L62,"")</f>
        <v>0</v>
      </c>
      <c r="I68" s="592" t="s">
        <v>812</v>
      </c>
      <c r="J68" s="155">
        <f>IF(ISNUMBER(NSW!K62),NSW!K62,"")</f>
        <v>4138.5065999999997</v>
      </c>
      <c r="K68" s="591" t="s">
        <v>812</v>
      </c>
      <c r="L68" s="155">
        <f>IF(ISNUMBER(NSW!L62),NSW!L62,"")</f>
        <v>5498.5282100000004</v>
      </c>
      <c r="M68" s="592" t="s">
        <v>812</v>
      </c>
      <c r="N68" s="154" t="str">
        <f>IF(ISNUMBER(NT!K62),NT!K62,"")</f>
        <v/>
      </c>
      <c r="O68" s="591" t="s">
        <v>812</v>
      </c>
      <c r="P68" s="155">
        <f>IF(ISNUMBER(NT!L62),NT!L62,"")</f>
        <v>27.694667076693527</v>
      </c>
      <c r="Q68" s="592" t="s">
        <v>812</v>
      </c>
      <c r="R68" s="154" t="str">
        <f>IF(ISNUMBER(Qld!K62),Qld!K62,"")</f>
        <v/>
      </c>
      <c r="S68" s="591" t="s">
        <v>812</v>
      </c>
      <c r="T68" s="155">
        <f>IF(ISNUMBER(Qld!L62),Qld!L62,"")</f>
        <v>424</v>
      </c>
      <c r="U68" s="592" t="s">
        <v>812</v>
      </c>
      <c r="V68" s="154" t="str">
        <f>IF(ISNUMBER(SA!K62),SA!K62,"")</f>
        <v/>
      </c>
      <c r="W68" s="591" t="s">
        <v>812</v>
      </c>
      <c r="X68" s="155">
        <f>IF(ISNUMBER(SA!L62),SA!L62,"")</f>
        <v>7.26</v>
      </c>
      <c r="Y68" s="592" t="s">
        <v>812</v>
      </c>
      <c r="Z68" s="154" t="str">
        <f>IF(ISNUMBER(TAS!K62),TAS!K62,"")</f>
        <v/>
      </c>
      <c r="AA68" s="591" t="s">
        <v>812</v>
      </c>
      <c r="AB68" s="155">
        <f>IF(ISNUMBER(TAS!L62),TAS!L62,"")</f>
        <v>4.3</v>
      </c>
      <c r="AC68" s="592" t="s">
        <v>812</v>
      </c>
      <c r="AD68" s="154">
        <f>IF(ISNUMBER(Vic!K62),Vic!K62,"")</f>
        <v>263.28500000000008</v>
      </c>
      <c r="AE68" s="595" t="s">
        <v>812</v>
      </c>
      <c r="AF68" s="155">
        <f>IF(ISNUMBER(Vic!L62),Vic!L62,"")</f>
        <v>199.71300000000002</v>
      </c>
      <c r="AG68" s="594" t="s">
        <v>812</v>
      </c>
      <c r="AH68" s="154">
        <f>IF(ISNUMBER(WA!L62),WA!L62,"")</f>
        <v>42.486999999999988</v>
      </c>
      <c r="AI68" s="591" t="s">
        <v>812</v>
      </c>
      <c r="AJ68" s="155">
        <f>IF(ISNUMBER(WA!M62),WA!M62,"")</f>
        <v>126.31150000000001</v>
      </c>
      <c r="AK68" s="592" t="s">
        <v>812</v>
      </c>
      <c r="AL68" s="768"/>
      <c r="AM68" s="604">
        <f>IF(ISNUMBER(ACT!K62),ACT!K62*1000000/AM$7,"")</f>
        <v>0</v>
      </c>
      <c r="AN68" s="605">
        <f>IF(ISNUMBER(ACT!L62),ACT!L62*1000000/AN$7,"")</f>
        <v>0</v>
      </c>
      <c r="AO68" s="606">
        <f>IF(ISNUMBER(NSW!K62),NSW!K62*1000000/AO$7,"")</f>
        <v>560.55723241612577</v>
      </c>
      <c r="AP68" s="606">
        <f>IF(ISNUMBER(NSW!L62),NSW!L62*1000000/AP$7,"")</f>
        <v>739.21094459475353</v>
      </c>
      <c r="AQ68" s="604" t="str">
        <f>IF(ISNUMBER(NT!K62),NT!K62*1000000/AQ$7,"")</f>
        <v/>
      </c>
      <c r="AR68" s="605">
        <f>IF(ISNUMBER(NT!L62),NT!L62*1000000/AR$7,"")</f>
        <v>114.34060689269536</v>
      </c>
      <c r="AS68" s="604" t="str">
        <f>IF(ISNUMBER(Qld!K62),Qld!K62*1000000/AS$7,"")</f>
        <v/>
      </c>
      <c r="AT68" s="605">
        <f>IF(ISNUMBER(Qld!L62),Qld!L62*1000000/AT$7,"")</f>
        <v>90.702889635761579</v>
      </c>
      <c r="AU68" s="604" t="str">
        <f>IF(ISNUMBER(SA!K62),SA!K62*1000000/AU$7,"")</f>
        <v/>
      </c>
      <c r="AV68" s="605">
        <f>IF(ISNUMBER(SA!L62),SA!L62*1000000/AV$7,"")</f>
        <v>4.3354801723442948</v>
      </c>
      <c r="AW68" s="606" t="str">
        <f>IF(ISNUMBER(TAS!K62),TAS!K62*1000000/AW$7,"")</f>
        <v/>
      </c>
      <c r="AX68" s="606">
        <f>IF(ISNUMBER(TAS!L62),TAS!L62*1000000/AX$7,"")</f>
        <v>8.3755356447214648</v>
      </c>
      <c r="AY68" s="604">
        <f>IF(ISNUMBER(Vic!K62),Vic!K62*1000000/AY$7,"")</f>
        <v>46.071462256433371</v>
      </c>
      <c r="AZ68" s="605">
        <f>IF(ISNUMBER(Vic!L62),Vic!L62*1000000/AZ$7,"")</f>
        <v>34.623466143332173</v>
      </c>
      <c r="BA68" s="606">
        <f>IF(ISNUMBER(WA!L62),WA!L62*1000000/BA$7,"")</f>
        <v>16.978398866694768</v>
      </c>
      <c r="BB68" s="606">
        <f>IF(ISNUMBER(WA!M62),WA!M62*1000000/BB$7,"")</f>
        <v>49.788663802601</v>
      </c>
      <c r="BC68" s="617">
        <f t="shared" si="1"/>
        <v>138.74872336878857</v>
      </c>
      <c r="BE68" s="604">
        <v>0</v>
      </c>
      <c r="BF68" s="606">
        <v>26836.48723435586</v>
      </c>
      <c r="BG68" s="606">
        <f>SUM([2]NT!M62:N62)</f>
        <v>11.59</v>
      </c>
      <c r="BH68" s="606">
        <v>78.783230085110105</v>
      </c>
      <c r="BI68" s="606">
        <v>11.705074806047815</v>
      </c>
      <c r="BJ68" s="606">
        <v>2.5909092826254225</v>
      </c>
      <c r="BK68" s="606">
        <v>101.1383437727965</v>
      </c>
      <c r="BL68" s="605">
        <v>112.49435629750801</v>
      </c>
    </row>
    <row r="69" spans="2:64">
      <c r="B69" s="904"/>
      <c r="C69" s="874"/>
      <c r="D69" s="614" t="s">
        <v>61</v>
      </c>
      <c r="E69" s="622" t="s">
        <v>126</v>
      </c>
      <c r="F69" s="774">
        <f>IF(ISNUMBER(ACT!K63),ACT!K63,"")</f>
        <v>0</v>
      </c>
      <c r="G69" s="770" t="s">
        <v>812</v>
      </c>
      <c r="H69" s="769">
        <f>IF(ISNUMBER(ACT!L63),ACT!L63,"")</f>
        <v>0</v>
      </c>
      <c r="I69" s="771" t="s">
        <v>812</v>
      </c>
      <c r="J69" s="769">
        <f>IF(ISNUMBER(NSW!K63),NSW!K63,"")</f>
        <v>0</v>
      </c>
      <c r="K69" s="770" t="s">
        <v>812</v>
      </c>
      <c r="L69" s="769">
        <f>IF(ISNUMBER(NSW!L63),NSW!L63,"")</f>
        <v>0.34449999999999997</v>
      </c>
      <c r="M69" s="771" t="s">
        <v>812</v>
      </c>
      <c r="N69" s="774" t="str">
        <f>IF(ISNUMBER(NT!K63),NT!K63,"")</f>
        <v/>
      </c>
      <c r="O69" s="770" t="s">
        <v>812</v>
      </c>
      <c r="P69" s="769">
        <f>IF(ISNUMBER(NT!L63),NT!L63,"")</f>
        <v>0</v>
      </c>
      <c r="Q69" s="771" t="s">
        <v>812</v>
      </c>
      <c r="R69" s="774" t="str">
        <f>IF(ISNUMBER(Qld!K63),Qld!K63,"")</f>
        <v/>
      </c>
      <c r="S69" s="770" t="s">
        <v>812</v>
      </c>
      <c r="T69" s="769">
        <f>IF(ISNUMBER(Qld!L63),Qld!L63,"")</f>
        <v>5</v>
      </c>
      <c r="U69" s="771" t="s">
        <v>812</v>
      </c>
      <c r="V69" s="774" t="str">
        <f>IF(ISNUMBER(SA!K63),SA!K63,"")</f>
        <v/>
      </c>
      <c r="W69" s="770" t="s">
        <v>812</v>
      </c>
      <c r="X69" s="769">
        <f>IF(ISNUMBER(SA!L63),SA!L63,"")</f>
        <v>0.2</v>
      </c>
      <c r="Y69" s="771" t="s">
        <v>812</v>
      </c>
      <c r="Z69" s="774" t="str">
        <f>IF(ISNUMBER(TAS!K63),TAS!K63,"")</f>
        <v/>
      </c>
      <c r="AA69" s="770" t="s">
        <v>812</v>
      </c>
      <c r="AB69" s="769" t="str">
        <f>IF(ISNUMBER(TAS!L63),TAS!L63,"")</f>
        <v/>
      </c>
      <c r="AC69" s="771" t="s">
        <v>812</v>
      </c>
      <c r="AD69" s="774">
        <f>IF(ISNUMBER(Vic!K63),Vic!K63,"")</f>
        <v>10.49</v>
      </c>
      <c r="AE69" s="772" t="s">
        <v>812</v>
      </c>
      <c r="AF69" s="769">
        <f>IF(ISNUMBER(Vic!L63),Vic!L63,"")</f>
        <v>0.05</v>
      </c>
      <c r="AG69" s="773" t="s">
        <v>812</v>
      </c>
      <c r="AH69" s="774">
        <f>IF(ISNUMBER(WA!L63),WA!L63,"")</f>
        <v>0.04</v>
      </c>
      <c r="AI69" s="770" t="s">
        <v>812</v>
      </c>
      <c r="AJ69" s="769">
        <f>IF(ISNUMBER(WA!M63),WA!M63,"")</f>
        <v>24.007749999999998</v>
      </c>
      <c r="AK69" s="771" t="s">
        <v>812</v>
      </c>
      <c r="AL69" s="768"/>
      <c r="AM69" s="788">
        <f>IF(ISNUMBER(ACT!K63),ACT!K63*1000000/AM$7,"")</f>
        <v>0</v>
      </c>
      <c r="AN69" s="790">
        <f>IF(ISNUMBER(ACT!L63),ACT!L63*1000000/AN$7,"")</f>
        <v>0</v>
      </c>
      <c r="AO69" s="777">
        <f>IF(ISNUMBER(NSW!K63),NSW!K63*1000000/AO$7,"")</f>
        <v>0</v>
      </c>
      <c r="AP69" s="777">
        <f>IF(ISNUMBER(NSW!L63),NSW!L63*1000000/AP$7,"")</f>
        <v>4.6313879039440738E-2</v>
      </c>
      <c r="AQ69" s="788" t="str">
        <f>IF(ISNUMBER(NT!K63),NT!K63*1000000/AQ$7,"")</f>
        <v/>
      </c>
      <c r="AR69" s="790">
        <f>IF(ISNUMBER(NT!L63),NT!L63*1000000/AR$7,"")</f>
        <v>0</v>
      </c>
      <c r="AS69" s="788" t="str">
        <f>IF(ISNUMBER(Qld!K63),Qld!K63*1000000/AS$7,"")</f>
        <v/>
      </c>
      <c r="AT69" s="790">
        <f>IF(ISNUMBER(Qld!L63),Qld!L63*1000000/AT$7,"")</f>
        <v>1.0696095475915282</v>
      </c>
      <c r="AU69" s="788" t="str">
        <f>IF(ISNUMBER(SA!K63),SA!K63*1000000/AU$7,"")</f>
        <v/>
      </c>
      <c r="AV69" s="790">
        <f>IF(ISNUMBER(SA!L63),SA!L63*1000000/AV$7,"")</f>
        <v>0.11943471549157836</v>
      </c>
      <c r="AW69" s="777" t="str">
        <f>IF(ISNUMBER(TAS!K63),TAS!K63*1000000/AW$7,"")</f>
        <v/>
      </c>
      <c r="AX69" s="777" t="str">
        <f>IF(ISNUMBER(TAS!L63),TAS!L63*1000000/AX$7,"")</f>
        <v/>
      </c>
      <c r="AY69" s="788">
        <f>IF(ISNUMBER(Vic!K63),Vic!K63*1000000/AY$7,"")</f>
        <v>1.835614026890958</v>
      </c>
      <c r="AZ69" s="790">
        <f>IF(ISNUMBER(Vic!L63),Vic!L63*1000000/AZ$7,"")</f>
        <v>8.6683055543034671E-3</v>
      </c>
      <c r="BA69" s="777">
        <f>IF(ISNUMBER(WA!L63),WA!L63*1000000/BA$7,"")</f>
        <v>1.598455891608706E-2</v>
      </c>
      <c r="BB69" s="777">
        <f>IF(ISNUMBER(WA!M63),WA!M63*1000000/BB$7,"")</f>
        <v>9.4632222197257878</v>
      </c>
      <c r="BC69" s="787">
        <f t="shared" si="1"/>
        <v>1.1417133866554259</v>
      </c>
      <c r="BE69" s="788">
        <v>0</v>
      </c>
      <c r="BF69" s="777">
        <v>0</v>
      </c>
      <c r="BG69" s="777">
        <f>SUM([2]NT!M63:N63)</f>
        <v>0</v>
      </c>
      <c r="BH69" s="777">
        <v>422.80333479009096</v>
      </c>
      <c r="BI69" s="777">
        <v>10.158774536061541</v>
      </c>
      <c r="BJ69" s="777"/>
      <c r="BK69" s="777">
        <v>5.1377343732197271</v>
      </c>
      <c r="BL69" s="790">
        <v>2.6227488218497901</v>
      </c>
    </row>
    <row r="70" spans="2:64">
      <c r="B70" s="902" t="s">
        <v>62</v>
      </c>
      <c r="C70" s="872" t="s">
        <v>164</v>
      </c>
      <c r="D70" s="602" t="s">
        <v>63</v>
      </c>
      <c r="E70" s="620" t="s">
        <v>165</v>
      </c>
      <c r="F70" s="157">
        <f>IF(ISNUMBER(ACT!K64),ACT!K64,"")</f>
        <v>1.5</v>
      </c>
      <c r="G70" s="589" t="s">
        <v>812</v>
      </c>
      <c r="H70" s="158">
        <f>IF(ISNUMBER(ACT!L64),ACT!L64,"")</f>
        <v>1.7</v>
      </c>
      <c r="I70" s="588" t="s">
        <v>812</v>
      </c>
      <c r="J70" s="158">
        <f>IF(ISNUMBER(NSW!K64),NSW!K64,"")</f>
        <v>6724.4284200000066</v>
      </c>
      <c r="K70" s="589" t="s">
        <v>812</v>
      </c>
      <c r="L70" s="158">
        <f>IF(ISNUMBER(NSW!L64),NSW!L64,"")</f>
        <v>7210.8001489999851</v>
      </c>
      <c r="M70" s="588" t="s">
        <v>812</v>
      </c>
      <c r="N70" s="157" t="str">
        <f>IF(ISNUMBER(NT!K64),NT!K64,"")</f>
        <v/>
      </c>
      <c r="O70" s="589" t="s">
        <v>812</v>
      </c>
      <c r="P70" s="158">
        <f>IF(ISNUMBER(NT!L64),NT!L64,"")</f>
        <v>69.439777847171172</v>
      </c>
      <c r="Q70" s="588" t="s">
        <v>812</v>
      </c>
      <c r="R70" s="157" t="str">
        <f>IF(ISNUMBER(Qld!K64),Qld!K64,"")</f>
        <v/>
      </c>
      <c r="S70" s="589" t="s">
        <v>812</v>
      </c>
      <c r="T70" s="158">
        <f>IF(ISNUMBER(Qld!L64),Qld!L64,"")</f>
        <v>0</v>
      </c>
      <c r="U70" s="588" t="s">
        <v>812</v>
      </c>
      <c r="V70" s="157" t="str">
        <f>IF(ISNUMBER(SA!K64),SA!K64,"")</f>
        <v/>
      </c>
      <c r="W70" s="589" t="s">
        <v>812</v>
      </c>
      <c r="X70" s="158">
        <f>IF(ISNUMBER(SA!L64),SA!L64,"")</f>
        <v>148.10000000000002</v>
      </c>
      <c r="Y70" s="588" t="s">
        <v>812</v>
      </c>
      <c r="Z70" s="157" t="str">
        <f>IF(ISNUMBER(TAS!K64),TAS!K64,"")</f>
        <v/>
      </c>
      <c r="AA70" s="589" t="s">
        <v>812</v>
      </c>
      <c r="AB70" s="158">
        <f>IF(ISNUMBER(TAS!L64),TAS!L64,"")</f>
        <v>7</v>
      </c>
      <c r="AC70" s="588" t="s">
        <v>812</v>
      </c>
      <c r="AD70" s="157">
        <f>IF(ISNUMBER(Vic!K64),Vic!K64,"")</f>
        <v>11413.415999999988</v>
      </c>
      <c r="AE70" s="596" t="s">
        <v>812</v>
      </c>
      <c r="AF70" s="158">
        <f>IF(ISNUMBER(Vic!L64),Vic!L64,"")</f>
        <v>12323.835999999999</v>
      </c>
      <c r="AG70" s="593" t="s">
        <v>812</v>
      </c>
      <c r="AH70" s="157">
        <f>IF(ISNUMBER(WA!L64),WA!L64,"")</f>
        <v>1455.0599999999993</v>
      </c>
      <c r="AI70" s="589" t="s">
        <v>812</v>
      </c>
      <c r="AJ70" s="158">
        <f>IF(ISNUMBER(WA!M64),WA!M64,"")</f>
        <v>2047.0027000000002</v>
      </c>
      <c r="AK70" s="588" t="s">
        <v>812</v>
      </c>
      <c r="AL70" s="768"/>
      <c r="AM70" s="604">
        <f>IF(ISNUMBER(ACT!K64),ACT!K64*1000000/AM$7,"")</f>
        <v>3.948043744324687</v>
      </c>
      <c r="AN70" s="605">
        <f>IF(ISNUMBER(ACT!L64),ACT!L64*1000000/AN$7,"")</f>
        <v>4.4404509408531938</v>
      </c>
      <c r="AO70" s="606">
        <f>IF(ISNUMBER(NSW!K64),NSW!K64*1000000/AO$7,"")</f>
        <v>910.81816438218209</v>
      </c>
      <c r="AP70" s="606">
        <f>IF(ISNUMBER(NSW!L64),NSW!L64*1000000/AP$7,"")</f>
        <v>969.40530008234123</v>
      </c>
      <c r="AQ70" s="604" t="str">
        <f>IF(ISNUMBER(NT!K64),NT!K64*1000000/AQ$7,"")</f>
        <v/>
      </c>
      <c r="AR70" s="605">
        <f>IF(ISNUMBER(NT!L64),NT!L64*1000000/AR$7,"")</f>
        <v>286.69008078530862</v>
      </c>
      <c r="AS70" s="606" t="str">
        <f>IF(ISNUMBER(Qld!K64),Qld!K64*1000000/AS$7,"")</f>
        <v/>
      </c>
      <c r="AT70" s="606">
        <f>IF(ISNUMBER(Qld!L64),Qld!L64*1000000/AT$7,"")</f>
        <v>0</v>
      </c>
      <c r="AU70" s="604" t="str">
        <f>IF(ISNUMBER(SA!K64),SA!K64*1000000/AU$7,"")</f>
        <v/>
      </c>
      <c r="AV70" s="605">
        <f>IF(ISNUMBER(SA!L64),SA!L64*1000000/AV$7,"")</f>
        <v>88.441406821513795</v>
      </c>
      <c r="AW70" s="606" t="str">
        <f>IF(ISNUMBER(TAS!K64),TAS!K64*1000000/AW$7,"")</f>
        <v/>
      </c>
      <c r="AX70" s="606">
        <f>IF(ISNUMBER(TAS!L64),TAS!L64*1000000/AX$7,"")</f>
        <v>13.634592910011687</v>
      </c>
      <c r="AY70" s="604">
        <f>IF(ISNUMBER(Vic!K64),Vic!K64*1000000/AY$7,"")</f>
        <v>1997.1998574205595</v>
      </c>
      <c r="AZ70" s="605">
        <f>IF(ISNUMBER(Vic!L64),Vic!L64*1000000/AZ$7,"")</f>
        <v>2136.5355209825002</v>
      </c>
      <c r="BA70" s="606">
        <f>IF(ISNUMBER(WA!L64),WA!L64*1000000/BA$7,"")</f>
        <v>581.46230741104068</v>
      </c>
      <c r="BB70" s="606">
        <f>IF(ISNUMBER(WA!M64),WA!M64*1000000/BB$7,"")</f>
        <v>806.87450654387374</v>
      </c>
      <c r="BC70" s="616">
        <f t="shared" si="1"/>
        <v>649.95418600204232</v>
      </c>
      <c r="BE70" s="604">
        <v>30.133516177342095</v>
      </c>
      <c r="BF70" s="606"/>
      <c r="BG70" s="606">
        <f>SUM([2]NT!M64:N64)</f>
        <v>29.06</v>
      </c>
      <c r="BH70" s="606">
        <v>0</v>
      </c>
      <c r="BI70" s="606">
        <v>235.44779229782114</v>
      </c>
      <c r="BJ70" s="606">
        <v>4.2177592972971993</v>
      </c>
      <c r="BK70" s="606">
        <v>3791.4569884018997</v>
      </c>
      <c r="BL70" s="605">
        <v>1335.9717563089503</v>
      </c>
    </row>
    <row r="71" spans="2:64">
      <c r="B71" s="903"/>
      <c r="C71" s="873"/>
      <c r="D71" s="602" t="s">
        <v>64</v>
      </c>
      <c r="E71" s="620" t="s">
        <v>127</v>
      </c>
      <c r="F71" s="154">
        <f>IF(ISNUMBER(ACT!K65),ACT!K65,"")</f>
        <v>1947</v>
      </c>
      <c r="G71" s="591" t="s">
        <v>812</v>
      </c>
      <c r="H71" s="155">
        <f>IF(ISNUMBER(ACT!L65),ACT!L65,"")</f>
        <v>439.63</v>
      </c>
      <c r="I71" s="592" t="s">
        <v>812</v>
      </c>
      <c r="J71" s="155">
        <f>IF(ISNUMBER(NSW!K65),NSW!K65,"")</f>
        <v>17019.46710999999</v>
      </c>
      <c r="K71" s="743"/>
      <c r="L71" s="155">
        <f>IF(ISNUMBER(NSW!L65),NSW!L65,"")</f>
        <v>62895.686919999949</v>
      </c>
      <c r="M71" s="744"/>
      <c r="N71" s="154" t="str">
        <f>IF(ISNUMBER(NT!K65),NT!K65,"")</f>
        <v/>
      </c>
      <c r="O71" s="743"/>
      <c r="P71" s="155">
        <f>IF(ISNUMBER(NT!L65),NT!L65,"")</f>
        <v>0</v>
      </c>
      <c r="Q71" s="744"/>
      <c r="R71" s="154" t="str">
        <f>IF(ISNUMBER(Qld!K65),Qld!K65,"")</f>
        <v/>
      </c>
      <c r="S71" s="743"/>
      <c r="T71" s="155" t="str">
        <f>IF(ISNUMBER(Qld!L65),Qld!L65,"")</f>
        <v/>
      </c>
      <c r="U71" s="744"/>
      <c r="V71" s="154" t="str">
        <f>IF(ISNUMBER(SA!K65),SA!K65,"")</f>
        <v/>
      </c>
      <c r="W71" s="591" t="s">
        <v>812</v>
      </c>
      <c r="X71" s="155">
        <f>IF(ISNUMBER(SA!L65),SA!L65,"")</f>
        <v>189995.93000000002</v>
      </c>
      <c r="Y71" s="592" t="s">
        <v>812</v>
      </c>
      <c r="Z71" s="154" t="str">
        <f>IF(ISNUMBER(TAS!K65),TAS!K65,"")</f>
        <v/>
      </c>
      <c r="AA71" s="591" t="s">
        <v>812</v>
      </c>
      <c r="AB71" s="155">
        <f>IF(ISNUMBER(TAS!L65),TAS!L65,"")</f>
        <v>132.39999999999998</v>
      </c>
      <c r="AC71" s="592" t="s">
        <v>812</v>
      </c>
      <c r="AD71" s="154">
        <f>IF(ISNUMBER(Vic!K65),Vic!K65,"")</f>
        <v>146413.60599999991</v>
      </c>
      <c r="AE71" s="595" t="s">
        <v>812</v>
      </c>
      <c r="AF71" s="155">
        <f>IF(ISNUMBER(Vic!L65),Vic!L65,"")</f>
        <v>174525.77499999999</v>
      </c>
      <c r="AG71" s="594" t="s">
        <v>812</v>
      </c>
      <c r="AH71" s="154">
        <f>IF(ISNUMBER(WA!L65),WA!L65,"")</f>
        <v>1728.6962400000002</v>
      </c>
      <c r="AI71" s="591" t="s">
        <v>812</v>
      </c>
      <c r="AJ71" s="155">
        <f>IF(ISNUMBER(WA!M65),WA!M65,"")</f>
        <v>1528.5129999999999</v>
      </c>
      <c r="AK71" s="592" t="s">
        <v>812</v>
      </c>
      <c r="AL71" s="768"/>
      <c r="AM71" s="604">
        <f>IF(ISNUMBER(ACT!K65),ACT!K65*1000000/AM$7,"")</f>
        <v>5124.5607801334436</v>
      </c>
      <c r="AN71" s="605">
        <f>IF(ISNUMBER(ACT!L65),ACT!L65*1000000/AN$7,"")</f>
        <v>1148.3267336042879</v>
      </c>
      <c r="AO71" s="606">
        <f>IF(ISNUMBER(NSW!K65),NSW!K65*1000000/AO$7,"")</f>
        <v>2305.2724817157168</v>
      </c>
      <c r="AP71" s="606">
        <f>IF(ISNUMBER(NSW!L65),NSW!L65*1000000/AP$7,"")</f>
        <v>8455.5681745004713</v>
      </c>
      <c r="AQ71" s="604" t="str">
        <f>IF(ISNUMBER(NT!K65),NT!K65*1000000/AQ$7,"")</f>
        <v/>
      </c>
      <c r="AR71" s="605">
        <f>IF(ISNUMBER(NT!L65),NT!L65*1000000/AR$7,"")</f>
        <v>0</v>
      </c>
      <c r="AS71" s="606" t="str">
        <f>IF(ISNUMBER(Qld!K65),Qld!K65*1000000/AS$7,"")</f>
        <v/>
      </c>
      <c r="AT71" s="606" t="str">
        <f>IF(ISNUMBER(Qld!L65),Qld!L65*1000000/AT$7,"")</f>
        <v/>
      </c>
      <c r="AU71" s="604" t="str">
        <f>IF(ISNUMBER(SA!K65),SA!K65*1000000/AU$7,"")</f>
        <v/>
      </c>
      <c r="AV71" s="605">
        <f>IF(ISNUMBER(SA!L65),SA!L65*1000000/AV$7,"")</f>
        <v>113460.54922053921</v>
      </c>
      <c r="AW71" s="606" t="str">
        <f>IF(ISNUMBER(TAS!K65),TAS!K65*1000000/AW$7,"")</f>
        <v/>
      </c>
      <c r="AX71" s="606">
        <f>IF(ISNUMBER(TAS!L65),TAS!L65*1000000/AX$7,"")</f>
        <v>257.88858589793529</v>
      </c>
      <c r="AY71" s="604">
        <f>IF(ISNUMBER(Vic!K65),Vic!K65*1000000/AY$7,"")</f>
        <v>25620.483212706004</v>
      </c>
      <c r="AZ71" s="605">
        <f>IF(ISNUMBER(Vic!L65),Vic!L65*1000000/AZ$7,"")</f>
        <v>30256.854896032342</v>
      </c>
      <c r="BA71" s="606">
        <f>IF(ISNUMBER(WA!L65),WA!L65*1000000/BA$7,"")</f>
        <v>690.81117240745448</v>
      </c>
      <c r="BB71" s="606">
        <f>IF(ISNUMBER(WA!M65),WA!M65*1000000/BB$7,"")</f>
        <v>602.49953388967003</v>
      </c>
      <c r="BC71" s="617">
        <f t="shared" si="1"/>
        <v>17083.892253766044</v>
      </c>
      <c r="BE71" s="604">
        <v>547.4959456166946</v>
      </c>
      <c r="BF71" s="606"/>
      <c r="BG71" s="606">
        <f>SUM([2]NT!M65:N65)</f>
        <v>0</v>
      </c>
      <c r="BH71" s="606"/>
      <c r="BI71" s="606">
        <v>265579.51074517623</v>
      </c>
      <c r="BJ71" s="606"/>
      <c r="BK71" s="606">
        <v>66315.925557732378</v>
      </c>
      <c r="BL71" s="605">
        <v>2654.1980900104827</v>
      </c>
    </row>
    <row r="72" spans="2:64">
      <c r="B72" s="903"/>
      <c r="C72" s="873"/>
      <c r="D72" s="602" t="s">
        <v>65</v>
      </c>
      <c r="E72" s="620" t="s">
        <v>166</v>
      </c>
      <c r="F72" s="154">
        <f>IF(ISNUMBER(ACT!K66),ACT!K66,"")</f>
        <v>0</v>
      </c>
      <c r="G72" s="591" t="s">
        <v>812</v>
      </c>
      <c r="H72" s="155">
        <f>IF(ISNUMBER(ACT!L66),ACT!L66,"")</f>
        <v>0</v>
      </c>
      <c r="I72" s="592" t="s">
        <v>812</v>
      </c>
      <c r="J72" s="155">
        <f>IF(ISNUMBER(NSW!K66),NSW!K66,"")</f>
        <v>250.75999999999996</v>
      </c>
      <c r="K72" s="591" t="s">
        <v>812</v>
      </c>
      <c r="L72" s="155">
        <f>IF(ISNUMBER(NSW!L66),NSW!L66,"")</f>
        <v>4.1899999999999995</v>
      </c>
      <c r="M72" s="592" t="s">
        <v>812</v>
      </c>
      <c r="N72" s="154" t="str">
        <f>IF(ISNUMBER(NT!K66),NT!K66,"")</f>
        <v/>
      </c>
      <c r="O72" s="591" t="s">
        <v>812</v>
      </c>
      <c r="P72" s="155">
        <f>IF(ISNUMBER(NT!L66),NT!L66,"")</f>
        <v>0</v>
      </c>
      <c r="Q72" s="592" t="s">
        <v>812</v>
      </c>
      <c r="R72" s="154" t="str">
        <f>IF(ISNUMBER(Qld!K66),Qld!K66,"")</f>
        <v/>
      </c>
      <c r="S72" s="591" t="s">
        <v>812</v>
      </c>
      <c r="T72" s="155">
        <f>IF(ISNUMBER(Qld!L66),Qld!L66,"")</f>
        <v>1236</v>
      </c>
      <c r="U72" s="592" t="s">
        <v>812</v>
      </c>
      <c r="V72" s="154" t="str">
        <f>IF(ISNUMBER(SA!K66),SA!K66,"")</f>
        <v/>
      </c>
      <c r="W72" s="591" t="s">
        <v>812</v>
      </c>
      <c r="X72" s="155">
        <f>IF(ISNUMBER(SA!L66),SA!L66,"")</f>
        <v>1.79</v>
      </c>
      <c r="Y72" s="592" t="s">
        <v>812</v>
      </c>
      <c r="Z72" s="154" t="str">
        <f>IF(ISNUMBER(TAS!K66),TAS!K66,"")</f>
        <v/>
      </c>
      <c r="AA72" s="591" t="s">
        <v>812</v>
      </c>
      <c r="AB72" s="155" t="str">
        <f>IF(ISNUMBER(TAS!L66),TAS!L66,"")</f>
        <v/>
      </c>
      <c r="AC72" s="592" t="s">
        <v>812</v>
      </c>
      <c r="AD72" s="154">
        <f>IF(ISNUMBER(Vic!K66),Vic!K66,"")</f>
        <v>120</v>
      </c>
      <c r="AE72" s="595" t="s">
        <v>812</v>
      </c>
      <c r="AF72" s="155">
        <f>IF(ISNUMBER(Vic!L66),Vic!L66,"")</f>
        <v>82.1</v>
      </c>
      <c r="AG72" s="594" t="s">
        <v>812</v>
      </c>
      <c r="AH72" s="154">
        <f>IF(ISNUMBER(WA!L66),WA!L66,"")</f>
        <v>13.32</v>
      </c>
      <c r="AI72" s="591" t="s">
        <v>812</v>
      </c>
      <c r="AJ72" s="155">
        <f>IF(ISNUMBER(WA!M66),WA!M66,"")</f>
        <v>14.8</v>
      </c>
      <c r="AK72" s="592" t="s">
        <v>812</v>
      </c>
      <c r="AL72" s="768"/>
      <c r="AM72" s="604">
        <f>IF(ISNUMBER(ACT!K66),ACT!K66*1000000/AM$7,"")</f>
        <v>0</v>
      </c>
      <c r="AN72" s="605">
        <f>IF(ISNUMBER(ACT!L66),ACT!L66*1000000/AN$7,"")</f>
        <v>0</v>
      </c>
      <c r="AO72" s="606">
        <f>IF(ISNUMBER(NSW!K66),NSW!K66*1000000/AO$7,"")</f>
        <v>33.965230743057823</v>
      </c>
      <c r="AP72" s="606">
        <f>IF(ISNUMBER(NSW!L66),NSW!L66*1000000/AP$7,"")</f>
        <v>0.56329507452904692</v>
      </c>
      <c r="AQ72" s="604" t="str">
        <f>IF(ISNUMBER(NT!K66),NT!K66*1000000/AQ$7,"")</f>
        <v/>
      </c>
      <c r="AR72" s="605">
        <f>IF(ISNUMBER(NT!L66),NT!L66*1000000/AR$7,"")</f>
        <v>0</v>
      </c>
      <c r="AS72" s="606" t="str">
        <f>IF(ISNUMBER(Qld!K66),Qld!K66*1000000/AS$7,"")</f>
        <v/>
      </c>
      <c r="AT72" s="606">
        <f>IF(ISNUMBER(Qld!L66),Qld!L66*1000000/AT$7,"")</f>
        <v>264.40748016462572</v>
      </c>
      <c r="AU72" s="604" t="str">
        <f>IF(ISNUMBER(SA!K66),SA!K66*1000000/AU$7,"")</f>
        <v/>
      </c>
      <c r="AV72" s="605">
        <f>IF(ISNUMBER(SA!L66),SA!L66*1000000/AV$7,"")</f>
        <v>1.0689407036496263</v>
      </c>
      <c r="AW72" s="606" t="str">
        <f>IF(ISNUMBER(TAS!K66),TAS!K66*1000000/AW$7,"")</f>
        <v/>
      </c>
      <c r="AX72" s="606" t="str">
        <f>IF(ISNUMBER(TAS!L66),TAS!L66*1000000/AX$7,"")</f>
        <v/>
      </c>
      <c r="AY72" s="604">
        <f>IF(ISNUMBER(Vic!K66),Vic!K66*1000000/AY$7,"")</f>
        <v>20.998444540220682</v>
      </c>
      <c r="AZ72" s="605">
        <f>IF(ISNUMBER(Vic!L66),Vic!L66*1000000/AZ$7,"")</f>
        <v>14.233357720166293</v>
      </c>
      <c r="BA72" s="606">
        <f>IF(ISNUMBER(WA!L66),WA!L66*1000000/BA$7,"")</f>
        <v>5.322858119056991</v>
      </c>
      <c r="BB72" s="606">
        <f>IF(ISNUMBER(WA!M66),WA!M66*1000000/BB$7,"")</f>
        <v>5.83376988064028</v>
      </c>
      <c r="BC72" s="617">
        <f t="shared" si="1"/>
        <v>31.490306995086041</v>
      </c>
      <c r="BE72" s="604">
        <v>0</v>
      </c>
      <c r="BF72" s="606">
        <v>3533.0776443428276</v>
      </c>
      <c r="BG72" s="606">
        <f>SUM([2]NT!M66:N66)</f>
        <v>0</v>
      </c>
      <c r="BH72" s="606"/>
      <c r="BI72" s="606">
        <v>2.2693153880460351</v>
      </c>
      <c r="BJ72" s="606"/>
      <c r="BK72" s="606">
        <v>104.78747334474929</v>
      </c>
      <c r="BL72" s="605">
        <v>44.775785842062895</v>
      </c>
    </row>
    <row r="73" spans="2:64">
      <c r="B73" s="903"/>
      <c r="C73" s="873"/>
      <c r="D73" s="602" t="s">
        <v>66</v>
      </c>
      <c r="E73" s="620" t="s">
        <v>173</v>
      </c>
      <c r="F73" s="154">
        <f>IF(ISNUMBER(ACT!K67),ACT!K67,"")</f>
        <v>0</v>
      </c>
      <c r="G73" s="591" t="s">
        <v>812</v>
      </c>
      <c r="H73" s="155">
        <f>IF(ISNUMBER(ACT!L67),ACT!L67,"")</f>
        <v>0</v>
      </c>
      <c r="I73" s="592" t="s">
        <v>812</v>
      </c>
      <c r="J73" s="155">
        <f>IF(ISNUMBER(NSW!K67),NSW!K67,"")</f>
        <v>0</v>
      </c>
      <c r="K73" s="591" t="s">
        <v>812</v>
      </c>
      <c r="L73" s="155">
        <f>IF(ISNUMBER(NSW!L67),NSW!L67,"")</f>
        <v>0</v>
      </c>
      <c r="M73" s="592" t="s">
        <v>812</v>
      </c>
      <c r="N73" s="154" t="str">
        <f>IF(ISNUMBER(NT!K67),NT!K67,"")</f>
        <v/>
      </c>
      <c r="O73" s="591" t="s">
        <v>812</v>
      </c>
      <c r="P73" s="155">
        <f>IF(ISNUMBER(NT!L67),NT!L67,"")</f>
        <v>0</v>
      </c>
      <c r="Q73" s="592" t="s">
        <v>812</v>
      </c>
      <c r="R73" s="154" t="str">
        <f>IF(ISNUMBER(Qld!K67),Qld!K67,"")</f>
        <v/>
      </c>
      <c r="S73" s="591" t="s">
        <v>812</v>
      </c>
      <c r="T73" s="155">
        <f>IF(ISNUMBER(Qld!L67),Qld!L67,"")</f>
        <v>3975</v>
      </c>
      <c r="U73" s="592" t="s">
        <v>812</v>
      </c>
      <c r="V73" s="154" t="str">
        <f>IF(ISNUMBER(SA!K67),SA!K67,"")</f>
        <v/>
      </c>
      <c r="W73" s="591" t="s">
        <v>812</v>
      </c>
      <c r="X73" s="155">
        <f>IF(ISNUMBER(SA!L67),SA!L67,"")</f>
        <v>595.73</v>
      </c>
      <c r="Y73" s="592" t="s">
        <v>812</v>
      </c>
      <c r="Z73" s="154" t="str">
        <f>IF(ISNUMBER(TAS!K67),TAS!K67,"")</f>
        <v/>
      </c>
      <c r="AA73" s="591" t="s">
        <v>812</v>
      </c>
      <c r="AB73" s="155" t="str">
        <f>IF(ISNUMBER(TAS!L67),TAS!L67,"")</f>
        <v/>
      </c>
      <c r="AC73" s="592" t="s">
        <v>812</v>
      </c>
      <c r="AD73" s="154">
        <f>IF(ISNUMBER(Vic!K67),Vic!K67,"")</f>
        <v>141.94800000000001</v>
      </c>
      <c r="AE73" s="595" t="s">
        <v>812</v>
      </c>
      <c r="AF73" s="155">
        <f>IF(ISNUMBER(Vic!L67),Vic!L67,"")</f>
        <v>243.53</v>
      </c>
      <c r="AG73" s="594" t="s">
        <v>812</v>
      </c>
      <c r="AH73" s="154">
        <f>IF(ISNUMBER(WA!L67),WA!L67,"")</f>
        <v>2.7</v>
      </c>
      <c r="AI73" s="591" t="s">
        <v>812</v>
      </c>
      <c r="AJ73" s="155">
        <f>IF(ISNUMBER(WA!M67),WA!M67,"")</f>
        <v>42.059999999999995</v>
      </c>
      <c r="AK73" s="592" t="s">
        <v>812</v>
      </c>
      <c r="AL73" s="768"/>
      <c r="AM73" s="604">
        <f>IF(ISNUMBER(ACT!K67),ACT!K67*1000000/AM$7,"")</f>
        <v>0</v>
      </c>
      <c r="AN73" s="605">
        <f>IF(ISNUMBER(ACT!L67),ACT!L67*1000000/AN$7,"")</f>
        <v>0</v>
      </c>
      <c r="AO73" s="606">
        <f>IF(ISNUMBER(NSW!K67),NSW!K67*1000000/AO$7,"")</f>
        <v>0</v>
      </c>
      <c r="AP73" s="606">
        <f>IF(ISNUMBER(NSW!L67),NSW!L67*1000000/AP$7,"")</f>
        <v>0</v>
      </c>
      <c r="AQ73" s="604" t="str">
        <f>IF(ISNUMBER(NT!K67),NT!K67*1000000/AQ$7,"")</f>
        <v/>
      </c>
      <c r="AR73" s="605">
        <f>IF(ISNUMBER(NT!L67),NT!L67*1000000/AR$7,"")</f>
        <v>0</v>
      </c>
      <c r="AS73" s="606" t="str">
        <f>IF(ISNUMBER(Qld!K67),Qld!K67*1000000/AS$7,"")</f>
        <v/>
      </c>
      <c r="AT73" s="606">
        <f>IF(ISNUMBER(Qld!L67),Qld!L67*1000000/AT$7,"")</f>
        <v>850.3395903352648</v>
      </c>
      <c r="AU73" s="604" t="str">
        <f>IF(ISNUMBER(SA!K67),SA!K67*1000000/AU$7,"")</f>
        <v/>
      </c>
      <c r="AV73" s="605">
        <f>IF(ISNUMBER(SA!L67),SA!L67*1000000/AV$7,"")</f>
        <v>355.75421529898989</v>
      </c>
      <c r="AW73" s="606" t="str">
        <f>IF(ISNUMBER(TAS!K67),TAS!K67*1000000/AW$7,"")</f>
        <v/>
      </c>
      <c r="AX73" s="606" t="str">
        <f>IF(ISNUMBER(TAS!L67),TAS!L67*1000000/AX$7,"")</f>
        <v/>
      </c>
      <c r="AY73" s="604">
        <f>IF(ISNUMBER(Vic!K67),Vic!K67*1000000/AY$7,"")</f>
        <v>24.839060046627047</v>
      </c>
      <c r="AZ73" s="605">
        <f>IF(ISNUMBER(Vic!L67),Vic!L67*1000000/AZ$7,"")</f>
        <v>42.219849032790464</v>
      </c>
      <c r="BA73" s="606">
        <f>IF(ISNUMBER(WA!L67),WA!L67*1000000/BA$7,"")</f>
        <v>1.0789577268358765</v>
      </c>
      <c r="BB73" s="606">
        <f>IF(ISNUMBER(WA!M67),WA!M67*1000000/BB$7,"")</f>
        <v>16.578943322954739</v>
      </c>
      <c r="BC73" s="617">
        <f t="shared" si="1"/>
        <v>117.34641961486027</v>
      </c>
      <c r="BE73" s="604">
        <v>0</v>
      </c>
      <c r="BF73" s="606">
        <v>0</v>
      </c>
      <c r="BG73" s="606">
        <f>SUM([2]NT!M67:N67)</f>
        <v>0</v>
      </c>
      <c r="BH73" s="606">
        <v>139.29706848796494</v>
      </c>
      <c r="BI73" s="606">
        <v>299.33411320905003</v>
      </c>
      <c r="BJ73" s="606"/>
      <c r="BK73" s="606">
        <v>77.924316337078835</v>
      </c>
      <c r="BL73" s="605">
        <v>68.32726330202938</v>
      </c>
    </row>
    <row r="74" spans="2:64">
      <c r="B74" s="903"/>
      <c r="C74" s="873"/>
      <c r="D74" s="602" t="s">
        <v>67</v>
      </c>
      <c r="E74" s="620" t="s">
        <v>174</v>
      </c>
      <c r="F74" s="154">
        <f>IF(ISNUMBER(ACT!K68),ACT!K68,"")</f>
        <v>0</v>
      </c>
      <c r="G74" s="591" t="s">
        <v>812</v>
      </c>
      <c r="H74" s="155">
        <f>IF(ISNUMBER(ACT!L68),ACT!L68,"")</f>
        <v>0</v>
      </c>
      <c r="I74" s="592" t="s">
        <v>812</v>
      </c>
      <c r="J74" s="155">
        <f>IF(ISNUMBER(NSW!K68),NSW!K68,"")</f>
        <v>12832.73000000001</v>
      </c>
      <c r="K74" s="591" t="s">
        <v>812</v>
      </c>
      <c r="L74" s="155">
        <f>IF(ISNUMBER(NSW!L68),NSW!L68,"")</f>
        <v>9741.1300000000028</v>
      </c>
      <c r="M74" s="592" t="s">
        <v>812</v>
      </c>
      <c r="N74" s="154" t="str">
        <f>IF(ISNUMBER(NT!K68),NT!K68,"")</f>
        <v/>
      </c>
      <c r="O74" s="591" t="s">
        <v>812</v>
      </c>
      <c r="P74" s="155">
        <f>IF(ISNUMBER(NT!L68),NT!L68,"")</f>
        <v>0</v>
      </c>
      <c r="Q74" s="592" t="s">
        <v>812</v>
      </c>
      <c r="R74" s="154" t="str">
        <f>IF(ISNUMBER(Qld!K68),Qld!K68,"")</f>
        <v/>
      </c>
      <c r="S74" s="591" t="s">
        <v>812</v>
      </c>
      <c r="T74" s="155">
        <f>IF(ISNUMBER(Qld!L68),Qld!L68,"")</f>
        <v>12397</v>
      </c>
      <c r="U74" s="592" t="s">
        <v>812</v>
      </c>
      <c r="V74" s="154" t="str">
        <f>IF(ISNUMBER(SA!K68),SA!K68,"")</f>
        <v/>
      </c>
      <c r="W74" s="591" t="s">
        <v>812</v>
      </c>
      <c r="X74" s="155">
        <f>IF(ISNUMBER(SA!L68),SA!L68,"")</f>
        <v>168.13</v>
      </c>
      <c r="Y74" s="592" t="s">
        <v>812</v>
      </c>
      <c r="Z74" s="154" t="str">
        <f>IF(ISNUMBER(TAS!K68),TAS!K68,"")</f>
        <v/>
      </c>
      <c r="AA74" s="591" t="s">
        <v>812</v>
      </c>
      <c r="AB74" s="155" t="str">
        <f>IF(ISNUMBER(TAS!L68),TAS!L68,"")</f>
        <v/>
      </c>
      <c r="AC74" s="592" t="s">
        <v>812</v>
      </c>
      <c r="AD74" s="154">
        <f>IF(ISNUMBER(Vic!K68),Vic!K68,"")</f>
        <v>10143.978000000001</v>
      </c>
      <c r="AE74" s="595" t="s">
        <v>812</v>
      </c>
      <c r="AF74" s="155">
        <f>IF(ISNUMBER(Vic!L68),Vic!L68,"")</f>
        <v>11189.162</v>
      </c>
      <c r="AG74" s="594" t="s">
        <v>812</v>
      </c>
      <c r="AH74" s="154">
        <f>IF(ISNUMBER(WA!L68),WA!L68,"")</f>
        <v>6282.2760000000017</v>
      </c>
      <c r="AI74" s="591" t="s">
        <v>812</v>
      </c>
      <c r="AJ74" s="155">
        <f>IF(ISNUMBER(WA!M68),WA!M68,"")</f>
        <v>146.98500000000001</v>
      </c>
      <c r="AK74" s="592" t="s">
        <v>812</v>
      </c>
      <c r="AL74" s="768"/>
      <c r="AM74" s="604">
        <f>IF(ISNUMBER(ACT!K68),ACT!K68*1000000/AM$7,"")</f>
        <v>0</v>
      </c>
      <c r="AN74" s="605">
        <f>IF(ISNUMBER(ACT!L68),ACT!L68*1000000/AN$7,"")</f>
        <v>0</v>
      </c>
      <c r="AO74" s="606">
        <f>IF(ISNUMBER(NSW!K68),NSW!K68*1000000/AO$7,"")</f>
        <v>1738.1824673526908</v>
      </c>
      <c r="AP74" s="606">
        <f>IF(ISNUMBER(NSW!L68),NSW!L68*1000000/AP$7,"")</f>
        <v>1309.57769674156</v>
      </c>
      <c r="AQ74" s="604" t="str">
        <f>IF(ISNUMBER(NT!K68),NT!K68*1000000/AQ$7,"")</f>
        <v/>
      </c>
      <c r="AR74" s="605">
        <f>IF(ISNUMBER(NT!L68),NT!L68*1000000/AR$7,"")</f>
        <v>0</v>
      </c>
      <c r="AS74" s="606" t="str">
        <f>IF(ISNUMBER(Qld!K68),Qld!K68*1000000/AS$7,"")</f>
        <v/>
      </c>
      <c r="AT74" s="606">
        <f>IF(ISNUMBER(Qld!L68),Qld!L68*1000000/AT$7,"")</f>
        <v>2651.9899122984348</v>
      </c>
      <c r="AU74" s="604" t="str">
        <f>IF(ISNUMBER(SA!K68),SA!K68*1000000/AU$7,"")</f>
        <v/>
      </c>
      <c r="AV74" s="605">
        <f>IF(ISNUMBER(SA!L68),SA!L68*1000000/AV$7,"")</f>
        <v>100.40279357799535</v>
      </c>
      <c r="AW74" s="606" t="str">
        <f>IF(ISNUMBER(TAS!K68),TAS!K68*1000000/AW$7,"")</f>
        <v/>
      </c>
      <c r="AX74" s="606" t="str">
        <f>IF(ISNUMBER(TAS!L68),TAS!L68*1000000/AX$7,"")</f>
        <v/>
      </c>
      <c r="AY74" s="604">
        <f>IF(ISNUMBER(Vic!K68),Vic!K68*1000000/AY$7,"")</f>
        <v>1775.0646620851564</v>
      </c>
      <c r="AZ74" s="605">
        <f>IF(ISNUMBER(Vic!L68),Vic!L68*1000000/AZ$7,"")</f>
        <v>1939.8215022520258</v>
      </c>
      <c r="BA74" s="606">
        <f>IF(ISNUMBER(WA!L68),WA!L68*1000000/BA$7,"")</f>
        <v>2510.4852712279944</v>
      </c>
      <c r="BB74" s="606">
        <f>IF(ISNUMBER(WA!M68),WA!M68*1000000/BB$7,"")</f>
        <v>57.937612561210237</v>
      </c>
      <c r="BC74" s="617">
        <f t="shared" si="1"/>
        <v>1098.4965380088245</v>
      </c>
      <c r="BE74" s="604">
        <v>0</v>
      </c>
      <c r="BF74" s="606">
        <v>32815.490246418238</v>
      </c>
      <c r="BG74" s="606">
        <f>SUM([2]NT!M68:N68)</f>
        <v>0</v>
      </c>
      <c r="BH74" s="606">
        <v>1046.5039062972128</v>
      </c>
      <c r="BI74" s="606">
        <v>45.979278811977743</v>
      </c>
      <c r="BJ74" s="606"/>
      <c r="BK74" s="606">
        <v>4387.4081212129613</v>
      </c>
      <c r="BL74" s="605">
        <v>5450.9809559660316</v>
      </c>
    </row>
    <row r="75" spans="2:64">
      <c r="B75" s="903"/>
      <c r="C75" s="873"/>
      <c r="D75" s="602" t="s">
        <v>68</v>
      </c>
      <c r="E75" s="620" t="s">
        <v>175</v>
      </c>
      <c r="F75" s="154">
        <f>IF(ISNUMBER(ACT!K69),ACT!K69,"")</f>
        <v>0</v>
      </c>
      <c r="G75" s="591" t="s">
        <v>812</v>
      </c>
      <c r="H75" s="155">
        <f>IF(ISNUMBER(ACT!L69),ACT!L69,"")</f>
        <v>0</v>
      </c>
      <c r="I75" s="592" t="s">
        <v>812</v>
      </c>
      <c r="J75" s="155">
        <f>IF(ISNUMBER(NSW!K69),NSW!K69,"")</f>
        <v>1120.2220000000002</v>
      </c>
      <c r="K75" s="591" t="s">
        <v>812</v>
      </c>
      <c r="L75" s="155">
        <f>IF(ISNUMBER(NSW!L69),NSW!L69,"")</f>
        <v>1796.0740000000001</v>
      </c>
      <c r="M75" s="592" t="s">
        <v>812</v>
      </c>
      <c r="N75" s="154" t="str">
        <f>IF(ISNUMBER(NT!K69),NT!K69,"")</f>
        <v/>
      </c>
      <c r="O75" s="591" t="s">
        <v>812</v>
      </c>
      <c r="P75" s="155">
        <f>IF(ISNUMBER(NT!L69),NT!L69,"")</f>
        <v>0</v>
      </c>
      <c r="Q75" s="592" t="s">
        <v>812</v>
      </c>
      <c r="R75" s="154" t="str">
        <f>IF(ISNUMBER(Qld!K69),Qld!K69,"")</f>
        <v/>
      </c>
      <c r="S75" s="591" t="s">
        <v>812</v>
      </c>
      <c r="T75" s="155">
        <f>IF(ISNUMBER(Qld!L69),Qld!L69,"")</f>
        <v>9160</v>
      </c>
      <c r="U75" s="592" t="s">
        <v>812</v>
      </c>
      <c r="V75" s="154" t="str">
        <f>IF(ISNUMBER(SA!K69),SA!K69,"")</f>
        <v/>
      </c>
      <c r="W75" s="591" t="s">
        <v>812</v>
      </c>
      <c r="X75" s="155">
        <f>IF(ISNUMBER(SA!L69),SA!L69,"")</f>
        <v>529.76</v>
      </c>
      <c r="Y75" s="592" t="s">
        <v>812</v>
      </c>
      <c r="Z75" s="154" t="str">
        <f>IF(ISNUMBER(TAS!K69),TAS!K69,"")</f>
        <v/>
      </c>
      <c r="AA75" s="591" t="s">
        <v>812</v>
      </c>
      <c r="AB75" s="155" t="str">
        <f>IF(ISNUMBER(TAS!L69),TAS!L69,"")</f>
        <v/>
      </c>
      <c r="AC75" s="592" t="s">
        <v>812</v>
      </c>
      <c r="AD75" s="154">
        <f>IF(ISNUMBER(Vic!K69),Vic!K69,"")</f>
        <v>2534.5520000000001</v>
      </c>
      <c r="AE75" s="595" t="s">
        <v>812</v>
      </c>
      <c r="AF75" s="155">
        <f>IF(ISNUMBER(Vic!L69),Vic!L69,"")</f>
        <v>2768.98</v>
      </c>
      <c r="AG75" s="594" t="s">
        <v>812</v>
      </c>
      <c r="AH75" s="154">
        <f>IF(ISNUMBER(WA!L69),WA!L69,"")</f>
        <v>98.66200000000002</v>
      </c>
      <c r="AI75" s="591" t="s">
        <v>812</v>
      </c>
      <c r="AJ75" s="155">
        <f>IF(ISNUMBER(WA!M69),WA!M69,"")</f>
        <v>27.299999999999997</v>
      </c>
      <c r="AK75" s="592" t="s">
        <v>812</v>
      </c>
      <c r="AL75" s="768"/>
      <c r="AM75" s="604">
        <f>IF(ISNUMBER(ACT!K69),ACT!K69*1000000/AM$7,"")</f>
        <v>0</v>
      </c>
      <c r="AN75" s="605">
        <f>IF(ISNUMBER(ACT!L69),ACT!L69*1000000/AN$7,"")</f>
        <v>0</v>
      </c>
      <c r="AO75" s="606">
        <f>IF(ISNUMBER(NSW!K69),NSW!K69*1000000/AO$7,"")</f>
        <v>151.73312615030201</v>
      </c>
      <c r="AP75" s="606">
        <f>IF(ISNUMBER(NSW!L69),NSW!L69*1000000/AP$7,"")</f>
        <v>241.46053405481709</v>
      </c>
      <c r="AQ75" s="604" t="str">
        <f>IF(ISNUMBER(NT!K69),NT!K69*1000000/AQ$7,"")</f>
        <v/>
      </c>
      <c r="AR75" s="605">
        <f>IF(ISNUMBER(NT!L69),NT!L69*1000000/AR$7,"")</f>
        <v>0</v>
      </c>
      <c r="AS75" s="606" t="str">
        <f>IF(ISNUMBER(Qld!K69),Qld!K69*1000000/AS$7,"")</f>
        <v/>
      </c>
      <c r="AT75" s="606">
        <f>IF(ISNUMBER(Qld!L69),Qld!L69*1000000/AT$7,"")</f>
        <v>1959.5246911876795</v>
      </c>
      <c r="AU75" s="604" t="str">
        <f>IF(ISNUMBER(SA!K69),SA!K69*1000000/AU$7,"")</f>
        <v/>
      </c>
      <c r="AV75" s="605">
        <f>IF(ISNUMBER(SA!L69),SA!L69*1000000/AV$7,"")</f>
        <v>316.35867439409276</v>
      </c>
      <c r="AW75" s="606" t="str">
        <f>IF(ISNUMBER(TAS!K69),TAS!K69*1000000/AW$7,"")</f>
        <v/>
      </c>
      <c r="AX75" s="606" t="str">
        <f>IF(ISNUMBER(TAS!L69),TAS!L69*1000000/AX$7,"")</f>
        <v/>
      </c>
      <c r="AY75" s="604">
        <f>IF(ISNUMBER(Vic!K69),Vic!K69*1000000/AY$7,"")</f>
        <v>443.51374671921178</v>
      </c>
      <c r="AZ75" s="605">
        <f>IF(ISNUMBER(Vic!L69),Vic!L69*1000000/AZ$7,"")</f>
        <v>480.04729427510426</v>
      </c>
      <c r="BA75" s="606">
        <f>IF(ISNUMBER(WA!L69),WA!L69*1000000/BA$7,"")</f>
        <v>39.426713794474544</v>
      </c>
      <c r="BB75" s="606">
        <f>IF(ISNUMBER(WA!M69),WA!M69*1000000/BB$7,"")</f>
        <v>10.760940387937811</v>
      </c>
      <c r="BC75" s="617">
        <f t="shared" si="1"/>
        <v>331.16597463305629</v>
      </c>
      <c r="BE75" s="604">
        <v>0</v>
      </c>
      <c r="BF75" s="606">
        <v>9597.0735215187451</v>
      </c>
      <c r="BG75" s="606">
        <f>SUM([2]NT!M69:N69)</f>
        <v>0</v>
      </c>
      <c r="BH75" s="606">
        <v>3308.8956635746245</v>
      </c>
      <c r="BI75" s="606">
        <v>267.51136412437819</v>
      </c>
      <c r="BJ75" s="606"/>
      <c r="BK75" s="606">
        <v>881.8326255241044</v>
      </c>
      <c r="BL75" s="605">
        <v>35.382623688152137</v>
      </c>
    </row>
    <row r="76" spans="2:64">
      <c r="B76" s="903"/>
      <c r="C76" s="873"/>
      <c r="D76" s="602" t="s">
        <v>128</v>
      </c>
      <c r="E76" s="620" t="s">
        <v>167</v>
      </c>
      <c r="F76" s="154">
        <f>IF(ISNUMBER(ACT!K70),ACT!K70,"")</f>
        <v>0</v>
      </c>
      <c r="G76" s="591" t="s">
        <v>812</v>
      </c>
      <c r="H76" s="155">
        <f>IF(ISNUMBER(ACT!L70),ACT!L70,"")</f>
        <v>0</v>
      </c>
      <c r="I76" s="592" t="s">
        <v>812</v>
      </c>
      <c r="J76" s="155">
        <f>IF(ISNUMBER(NSW!K70),NSW!K70,"")</f>
        <v>10936.570860000005</v>
      </c>
      <c r="K76" s="591" t="s">
        <v>812</v>
      </c>
      <c r="L76" s="155">
        <f>IF(ISNUMBER(NSW!L70),NSW!L70,"")</f>
        <v>12024.339860000009</v>
      </c>
      <c r="M76" s="592" t="s">
        <v>812</v>
      </c>
      <c r="N76" s="154" t="str">
        <f>IF(ISNUMBER(NT!K70),NT!K70,"")</f>
        <v/>
      </c>
      <c r="O76" s="591" t="s">
        <v>812</v>
      </c>
      <c r="P76" s="155">
        <f>IF(ISNUMBER(NT!L70),NT!L70,"")</f>
        <v>0</v>
      </c>
      <c r="Q76" s="592" t="s">
        <v>812</v>
      </c>
      <c r="R76" s="154" t="str">
        <f>IF(ISNUMBER(Qld!K70),Qld!K70,"")</f>
        <v/>
      </c>
      <c r="S76" s="591" t="s">
        <v>812</v>
      </c>
      <c r="T76" s="155">
        <f>IF(ISNUMBER(Qld!L70),Qld!L70,"")</f>
        <v>200454</v>
      </c>
      <c r="U76" s="592" t="s">
        <v>812</v>
      </c>
      <c r="V76" s="154" t="str">
        <f>IF(ISNUMBER(SA!K70),SA!K70,"")</f>
        <v/>
      </c>
      <c r="W76" s="591" t="s">
        <v>812</v>
      </c>
      <c r="X76" s="155">
        <f>IF(ISNUMBER(SA!L70),SA!L70,"")</f>
        <v>52346.92</v>
      </c>
      <c r="Y76" s="592" t="s">
        <v>812</v>
      </c>
      <c r="Z76" s="154" t="str">
        <f>IF(ISNUMBER(TAS!K70),TAS!K70,"")</f>
        <v/>
      </c>
      <c r="AA76" s="591" t="s">
        <v>812</v>
      </c>
      <c r="AB76" s="155" t="str">
        <f>IF(ISNUMBER(TAS!L70),TAS!L70,"")</f>
        <v/>
      </c>
      <c r="AC76" s="592" t="s">
        <v>812</v>
      </c>
      <c r="AD76" s="154">
        <f>IF(ISNUMBER(Vic!K70),Vic!K70,"")</f>
        <v>0</v>
      </c>
      <c r="AE76" s="591" t="s">
        <v>812</v>
      </c>
      <c r="AF76" s="155">
        <f>IF(ISNUMBER(Vic!L70),Vic!L70,"")</f>
        <v>0</v>
      </c>
      <c r="AG76" s="592" t="s">
        <v>812</v>
      </c>
      <c r="AH76" s="154">
        <f>IF(ISNUMBER(WA!L70),WA!L70,"")</f>
        <v>5179.7835400000022</v>
      </c>
      <c r="AI76" s="591" t="s">
        <v>812</v>
      </c>
      <c r="AJ76" s="155">
        <f>IF(ISNUMBER(WA!M70),WA!M70,"")</f>
        <v>12469.371774999981</v>
      </c>
      <c r="AK76" s="592" t="s">
        <v>812</v>
      </c>
      <c r="AL76" s="768"/>
      <c r="AM76" s="604">
        <f>IF(ISNUMBER(ACT!K70),ACT!K70*1000000/AM$7,"")</f>
        <v>0</v>
      </c>
      <c r="AN76" s="605">
        <f>IF(ISNUMBER(ACT!L70),ACT!L70*1000000/AN$7,"")</f>
        <v>0</v>
      </c>
      <c r="AO76" s="606">
        <f>IF(ISNUMBER(NSW!K70),NSW!K70*1000000/AO$7,"")</f>
        <v>1481.3493092905669</v>
      </c>
      <c r="AP76" s="606">
        <f>IF(ISNUMBER(NSW!L70),NSW!L70*1000000/AP$7,"")</f>
        <v>1616.5277846303809</v>
      </c>
      <c r="AQ76" s="604" t="str">
        <f>IF(ISNUMBER(NT!K70),NT!K70*1000000/AQ$7,"")</f>
        <v/>
      </c>
      <c r="AR76" s="605">
        <f>IF(ISNUMBER(NT!L70),NT!L70*1000000/AR$7,"")</f>
        <v>0</v>
      </c>
      <c r="AS76" s="606" t="str">
        <f>IF(ISNUMBER(Qld!K70),Qld!K70*1000000/AS$7,"")</f>
        <v/>
      </c>
      <c r="AT76" s="606">
        <f>IF(ISNUMBER(Qld!L70),Qld!L70*1000000/AT$7,"")</f>
        <v>42881.502450582433</v>
      </c>
      <c r="AU76" s="604" t="str">
        <f>IF(ISNUMBER(SA!K70),SA!K70*1000000/AU$7,"")</f>
        <v/>
      </c>
      <c r="AV76" s="605">
        <f>IF(ISNUMBER(SA!L70),SA!L70*1000000/AV$7,"")</f>
        <v>31260.197485302066</v>
      </c>
      <c r="AW76" s="606" t="str">
        <f>IF(ISNUMBER(TAS!K70),TAS!K70*1000000/AW$7,"")</f>
        <v/>
      </c>
      <c r="AX76" s="606" t="str">
        <f>IF(ISNUMBER(TAS!L70),TAS!L70*1000000/AX$7,"")</f>
        <v/>
      </c>
      <c r="AY76" s="604">
        <f>IF(ISNUMBER(Vic!K70),Vic!K70*1000000/AY$7,"")</f>
        <v>0</v>
      </c>
      <c r="AZ76" s="605">
        <f>IF(ISNUMBER(Vic!L70),Vic!L70*1000000/AZ$7,"")</f>
        <v>0</v>
      </c>
      <c r="BA76" s="606">
        <f>IF(ISNUMBER(WA!L70),WA!L70*1000000/BA$7,"")</f>
        <v>2069.9138791927007</v>
      </c>
      <c r="BB76" s="606">
        <f>IF(ISNUMBER(WA!M70),WA!M70*1000000/BB$7,"")</f>
        <v>4915.0976683446561</v>
      </c>
      <c r="BC76" s="617">
        <f t="shared" si="1"/>
        <v>7656.7807797584364</v>
      </c>
      <c r="BE76" s="604">
        <v>0</v>
      </c>
      <c r="BF76" s="606">
        <v>67310.965281218523</v>
      </c>
      <c r="BG76" s="606">
        <f>SUM([2]NT!M70:N70)</f>
        <v>0</v>
      </c>
      <c r="BH76" s="606">
        <v>1300.7986656274848</v>
      </c>
      <c r="BI76" s="606">
        <v>36138.959936761144</v>
      </c>
      <c r="BJ76" s="606"/>
      <c r="BK76" s="606">
        <v>2879.4371577944926</v>
      </c>
      <c r="BL76" s="605">
        <v>1080.8954416624811</v>
      </c>
    </row>
    <row r="77" spans="2:64">
      <c r="B77" s="903"/>
      <c r="C77" s="873"/>
      <c r="D77" s="602" t="s">
        <v>69</v>
      </c>
      <c r="E77" s="620" t="s">
        <v>129</v>
      </c>
      <c r="F77" s="154">
        <f>IF(ISNUMBER(ACT!K71),ACT!K71,"")</f>
        <v>0</v>
      </c>
      <c r="G77" s="591" t="s">
        <v>812</v>
      </c>
      <c r="H77" s="155">
        <f>IF(ISNUMBER(ACT!L71),ACT!L71,"")</f>
        <v>0</v>
      </c>
      <c r="I77" s="592" t="s">
        <v>812</v>
      </c>
      <c r="J77" s="155">
        <f>IF(ISNUMBER(NSW!K71),NSW!K71,"")</f>
        <v>18.432899999999997</v>
      </c>
      <c r="K77" s="743"/>
      <c r="L77" s="155">
        <f>IF(ISNUMBER(NSW!L71),NSW!L71,"")</f>
        <v>43.804999999999993</v>
      </c>
      <c r="M77" s="744"/>
      <c r="N77" s="154" t="str">
        <f>IF(ISNUMBER(NT!K71),NT!K71,"")</f>
        <v/>
      </c>
      <c r="O77" s="743"/>
      <c r="P77" s="155">
        <f>IF(ISNUMBER(NT!L71),NT!L71,"")</f>
        <v>152.11755876637702</v>
      </c>
      <c r="Q77" s="744"/>
      <c r="R77" s="154" t="str">
        <f>IF(ISNUMBER(Qld!K71),Qld!K71,"")</f>
        <v/>
      </c>
      <c r="S77" s="591" t="s">
        <v>812</v>
      </c>
      <c r="T77" s="155">
        <f>IF(ISNUMBER(Qld!L71),Qld!L71,"")</f>
        <v>115323</v>
      </c>
      <c r="U77" s="592" t="s">
        <v>812</v>
      </c>
      <c r="V77" s="154" t="str">
        <f>IF(ISNUMBER(SA!K71),SA!K71,"")</f>
        <v/>
      </c>
      <c r="W77" s="591" t="s">
        <v>812</v>
      </c>
      <c r="X77" s="155">
        <f>IF(ISNUMBER(SA!L71),SA!L71,"")</f>
        <v>18933.719999999998</v>
      </c>
      <c r="Y77" s="592" t="s">
        <v>812</v>
      </c>
      <c r="Z77" s="154" t="str">
        <f>IF(ISNUMBER(TAS!K71),TAS!K71,"")</f>
        <v/>
      </c>
      <c r="AA77" s="743"/>
      <c r="AB77" s="155">
        <f>IF(ISNUMBER(TAS!L71),TAS!L71,"")</f>
        <v>1E-3</v>
      </c>
      <c r="AC77" s="744"/>
      <c r="AD77" s="154">
        <f>IF(ISNUMBER(Vic!K71),Vic!K71,"")</f>
        <v>28280.257000000056</v>
      </c>
      <c r="AE77" s="595" t="s">
        <v>812</v>
      </c>
      <c r="AF77" s="155">
        <f>IF(ISNUMBER(Vic!L71),Vic!L71,"")</f>
        <v>29453.052999999985</v>
      </c>
      <c r="AG77" s="594" t="s">
        <v>812</v>
      </c>
      <c r="AH77" s="154">
        <f>IF(ISNUMBER(WA!L71),WA!L71,"")</f>
        <v>0</v>
      </c>
      <c r="AI77" s="743"/>
      <c r="AJ77" s="155">
        <f>IF(ISNUMBER(WA!M71),WA!M71,"")</f>
        <v>8</v>
      </c>
      <c r="AK77" s="744"/>
      <c r="AL77" s="768"/>
      <c r="AM77" s="604">
        <f>IF(ISNUMBER(ACT!K71),ACT!K71*1000000/AM$7,"")</f>
        <v>0</v>
      </c>
      <c r="AN77" s="605">
        <f>IF(ISNUMBER(ACT!L71),ACT!L71*1000000/AN$7,"")</f>
        <v>0</v>
      </c>
      <c r="AO77" s="606">
        <f>IF(ISNUMBER(NSW!K71),NSW!K71*1000000/AO$7,"")</f>
        <v>2.4967207758961174</v>
      </c>
      <c r="AP77" s="606">
        <f>IF(ISNUMBER(NSW!L71),NSW!L71*1000000/AP$7,"")</f>
        <v>5.8890550691515271</v>
      </c>
      <c r="AQ77" s="604" t="str">
        <f>IF(ISNUMBER(NT!K71),NT!K71*1000000/AQ$7,"")</f>
        <v/>
      </c>
      <c r="AR77" s="605">
        <f>IF(ISNUMBER(NT!L71),NT!L71*1000000/AR$7,"")</f>
        <v>628.03477435625405</v>
      </c>
      <c r="AS77" s="606" t="str">
        <f>IF(ISNUMBER(Qld!K71),Qld!K71*1000000/AS$7,"")</f>
        <v/>
      </c>
      <c r="AT77" s="606">
        <f>IF(ISNUMBER(Qld!L71),Qld!L71*1000000/AT$7,"")</f>
        <v>24670.116371379558</v>
      </c>
      <c r="AU77" s="604" t="str">
        <f>IF(ISNUMBER(SA!K71),SA!K71*1000000/AU$7,"")</f>
        <v/>
      </c>
      <c r="AV77" s="605">
        <f>IF(ISNUMBER(SA!L71),SA!L71*1000000/AV$7,"")</f>
        <v>11306.717306986033</v>
      </c>
      <c r="AW77" s="606" t="str">
        <f>IF(ISNUMBER(TAS!K71),TAS!K71*1000000/AW$7,"")</f>
        <v/>
      </c>
      <c r="AX77" s="606">
        <f>IF(ISNUMBER(TAS!L71),TAS!L71*1000000/AX$7,"")</f>
        <v>1.9477989871445266E-3</v>
      </c>
      <c r="AY77" s="604">
        <f>IF(ISNUMBER(Vic!K71),Vic!K71*1000000/AY$7,"")</f>
        <v>4948.6784016474076</v>
      </c>
      <c r="AZ77" s="605">
        <f>IF(ISNUMBER(Vic!L71),Vic!L71*1000000/AZ$7,"")</f>
        <v>5106.161258221885</v>
      </c>
      <c r="BA77" s="606">
        <f>IF(ISNUMBER(WA!L71),WA!L71*1000000/BA$7,"")</f>
        <v>0</v>
      </c>
      <c r="BB77" s="606">
        <f>IF(ISNUMBER(WA!M71),WA!M71*1000000/BB$7,"")</f>
        <v>3.1533891246704218</v>
      </c>
      <c r="BC77" s="617">
        <f t="shared" si="1"/>
        <v>3889.2707687799866</v>
      </c>
      <c r="BE77" s="604">
        <v>52.550112264052174</v>
      </c>
      <c r="BF77" s="606"/>
      <c r="BG77" s="606">
        <f>SUM([2]NT!M71:N71)</f>
        <v>63.66</v>
      </c>
      <c r="BH77" s="606">
        <v>43601.265636769444</v>
      </c>
      <c r="BI77" s="606">
        <v>12917.039249684058</v>
      </c>
      <c r="BJ77" s="606">
        <v>0</v>
      </c>
      <c r="BK77" s="606">
        <v>13259.216755757989</v>
      </c>
      <c r="BL77" s="605"/>
    </row>
    <row r="78" spans="2:64">
      <c r="B78" s="904"/>
      <c r="C78" s="874"/>
      <c r="D78" s="602" t="s">
        <v>70</v>
      </c>
      <c r="E78" s="620" t="s">
        <v>168</v>
      </c>
      <c r="F78" s="774">
        <f>IF(ISNUMBER(ACT!K72),ACT!K72,"")</f>
        <v>0</v>
      </c>
      <c r="G78" s="770" t="s">
        <v>812</v>
      </c>
      <c r="H78" s="769">
        <f>IF(ISNUMBER(ACT!L72),ACT!L72,"")</f>
        <v>0</v>
      </c>
      <c r="I78" s="771" t="s">
        <v>812</v>
      </c>
      <c r="J78" s="769">
        <f>IF(ISNUMBER(NSW!K72),NSW!K72,"")</f>
        <v>0</v>
      </c>
      <c r="K78" s="770" t="s">
        <v>812</v>
      </c>
      <c r="L78" s="769">
        <f>IF(ISNUMBER(NSW!L72),NSW!L72,"")</f>
        <v>0</v>
      </c>
      <c r="M78" s="771" t="s">
        <v>812</v>
      </c>
      <c r="N78" s="774" t="str">
        <f>IF(ISNUMBER(NT!K72),NT!K72,"")</f>
        <v/>
      </c>
      <c r="O78" s="770" t="s">
        <v>812</v>
      </c>
      <c r="P78" s="769">
        <f>IF(ISNUMBER(NT!L72),NT!L72,"")</f>
        <v>0</v>
      </c>
      <c r="Q78" s="771" t="s">
        <v>812</v>
      </c>
      <c r="R78" s="774" t="str">
        <f>IF(ISNUMBER(Qld!K72),Qld!K72,"")</f>
        <v/>
      </c>
      <c r="S78" s="770" t="s">
        <v>812</v>
      </c>
      <c r="T78" s="769" t="str">
        <f>IF(ISNUMBER(Qld!L72),Qld!L72,"")</f>
        <v/>
      </c>
      <c r="U78" s="771" t="s">
        <v>812</v>
      </c>
      <c r="V78" s="774" t="str">
        <f>IF(ISNUMBER(SA!K72),SA!K72,"")</f>
        <v/>
      </c>
      <c r="W78" s="770" t="s">
        <v>812</v>
      </c>
      <c r="X78" s="769">
        <f>IF(ISNUMBER(SA!L72),SA!L72,"")</f>
        <v>277.58</v>
      </c>
      <c r="Y78" s="771" t="s">
        <v>812</v>
      </c>
      <c r="Z78" s="774" t="str">
        <f>IF(ISNUMBER(TAS!K72),TAS!K72,"")</f>
        <v/>
      </c>
      <c r="AA78" s="770" t="s">
        <v>812</v>
      </c>
      <c r="AB78" s="769" t="str">
        <f>IF(ISNUMBER(TAS!L72),TAS!L72,"")</f>
        <v/>
      </c>
      <c r="AC78" s="771" t="s">
        <v>812</v>
      </c>
      <c r="AD78" s="774">
        <f>IF(ISNUMBER(Vic!K72),Vic!K72,"")</f>
        <v>51.879999999999995</v>
      </c>
      <c r="AE78" s="772" t="s">
        <v>812</v>
      </c>
      <c r="AF78" s="769">
        <f>IF(ISNUMBER(Vic!L72),Vic!L72,"")</f>
        <v>84.72</v>
      </c>
      <c r="AG78" s="773" t="s">
        <v>812</v>
      </c>
      <c r="AH78" s="774">
        <f>IF(ISNUMBER(WA!L72),WA!L72,"")</f>
        <v>0</v>
      </c>
      <c r="AI78" s="770" t="s">
        <v>812</v>
      </c>
      <c r="AJ78" s="769">
        <f>IF(ISNUMBER(WA!M72),WA!M72,"")</f>
        <v>0</v>
      </c>
      <c r="AK78" s="771" t="s">
        <v>812</v>
      </c>
      <c r="AL78" s="768"/>
      <c r="AM78" s="604">
        <f>IF(ISNUMBER(ACT!K72),ACT!K72*1000000/AM$7,"")</f>
        <v>0</v>
      </c>
      <c r="AN78" s="605">
        <f>IF(ISNUMBER(ACT!L72),ACT!L72*1000000/AN$7,"")</f>
        <v>0</v>
      </c>
      <c r="AO78" s="606">
        <f>IF(ISNUMBER(NSW!K72),NSW!K72*1000000/AO$7,"")</f>
        <v>0</v>
      </c>
      <c r="AP78" s="606">
        <f>IF(ISNUMBER(NSW!L72),NSW!L72*1000000/AP$7,"")</f>
        <v>0</v>
      </c>
      <c r="AQ78" s="604" t="str">
        <f>IF(ISNUMBER(NT!K72),NT!K72*1000000/AQ$7,"")</f>
        <v/>
      </c>
      <c r="AR78" s="605">
        <f>IF(ISNUMBER(NT!L72),NT!L72*1000000/AR$7,"")</f>
        <v>0</v>
      </c>
      <c r="AS78" s="606" t="str">
        <f>IF(ISNUMBER(Qld!K72),Qld!K72*1000000/AS$7,"")</f>
        <v/>
      </c>
      <c r="AT78" s="606" t="str">
        <f>IF(ISNUMBER(Qld!L72),Qld!L72*1000000/AT$7,"")</f>
        <v/>
      </c>
      <c r="AU78" s="604" t="str">
        <f>IF(ISNUMBER(SA!K72),SA!K72*1000000/AU$7,"")</f>
        <v/>
      </c>
      <c r="AV78" s="605">
        <f>IF(ISNUMBER(SA!L72),SA!L72*1000000/AV$7,"")</f>
        <v>165.7634416307616</v>
      </c>
      <c r="AW78" s="606" t="str">
        <f>IF(ISNUMBER(TAS!K72),TAS!K72*1000000/AW$7,"")</f>
        <v/>
      </c>
      <c r="AX78" s="606" t="str">
        <f>IF(ISNUMBER(TAS!L72),TAS!L72*1000000/AX$7,"")</f>
        <v/>
      </c>
      <c r="AY78" s="604">
        <f>IF(ISNUMBER(Vic!K72),Vic!K72*1000000/AY$7,"")</f>
        <v>9.0783275228887401</v>
      </c>
      <c r="AZ78" s="605">
        <f>IF(ISNUMBER(Vic!L72),Vic!L72*1000000/AZ$7,"")</f>
        <v>14.687576931211794</v>
      </c>
      <c r="BA78" s="606">
        <f>IF(ISNUMBER(WA!L72),WA!L72*1000000/BA$7,"")</f>
        <v>0</v>
      </c>
      <c r="BB78" s="606">
        <f>IF(ISNUMBER(WA!M72),WA!M72*1000000/BB$7,"")</f>
        <v>0</v>
      </c>
      <c r="BC78" s="787">
        <f t="shared" ref="BC78:BC85" si="2">IFERROR(AVERAGE(AM78:BB78),"")</f>
        <v>18.952934608486213</v>
      </c>
      <c r="BE78" s="604">
        <v>0</v>
      </c>
      <c r="BF78" s="606">
        <v>0</v>
      </c>
      <c r="BG78" s="606">
        <f>SUM([2]NT!M72:N72)</f>
        <v>0</v>
      </c>
      <c r="BH78" s="606">
        <v>25490.751778648962</v>
      </c>
      <c r="BI78" s="606">
        <v>15.720309356786728</v>
      </c>
      <c r="BJ78" s="606"/>
      <c r="BK78" s="606">
        <v>12.425237625613963</v>
      </c>
      <c r="BL78" s="605"/>
    </row>
    <row r="79" spans="2:64">
      <c r="B79" s="902" t="s">
        <v>71</v>
      </c>
      <c r="C79" s="872" t="s">
        <v>169</v>
      </c>
      <c r="D79" s="597" t="s">
        <v>72</v>
      </c>
      <c r="E79" s="619" t="s">
        <v>170</v>
      </c>
      <c r="F79" s="157">
        <f>IF(ISNUMBER(ACT!K73),ACT!K73,"")</f>
        <v>81</v>
      </c>
      <c r="G79" s="589" t="s">
        <v>812</v>
      </c>
      <c r="H79" s="158">
        <f>IF(ISNUMBER(ACT!L73),ACT!L73,"")</f>
        <v>126.39</v>
      </c>
      <c r="I79" s="588" t="s">
        <v>812</v>
      </c>
      <c r="J79" s="158">
        <f>IF(ISNUMBER(NSW!K73),NSW!K73,"")</f>
        <v>165.4323</v>
      </c>
      <c r="K79" s="741"/>
      <c r="L79" s="158">
        <f>IF(ISNUMBER(NSW!L73),NSW!L73,"")</f>
        <v>54.491500000000073</v>
      </c>
      <c r="M79" s="742"/>
      <c r="N79" s="157" t="str">
        <f>IF(ISNUMBER(NT!K73),NT!K73,"")</f>
        <v/>
      </c>
      <c r="O79" s="589" t="s">
        <v>812</v>
      </c>
      <c r="P79" s="158">
        <f>IF(ISNUMBER(NT!L73),NT!L73,"")</f>
        <v>297.42495349750158</v>
      </c>
      <c r="Q79" s="588" t="s">
        <v>812</v>
      </c>
      <c r="R79" s="157" t="str">
        <f>IF(ISNUMBER(Qld!K73),Qld!K73,"")</f>
        <v/>
      </c>
      <c r="S79" s="589" t="s">
        <v>812</v>
      </c>
      <c r="T79" s="158">
        <f>IF(ISNUMBER(Qld!L73),Qld!L73,"")</f>
        <v>24630</v>
      </c>
      <c r="U79" s="588" t="s">
        <v>812</v>
      </c>
      <c r="V79" s="157" t="str">
        <f>IF(ISNUMBER(SA!K73),SA!K73,"")</f>
        <v/>
      </c>
      <c r="W79" s="589" t="s">
        <v>812</v>
      </c>
      <c r="X79" s="158">
        <f>IF(ISNUMBER(SA!L73),SA!L73,"")</f>
        <v>5775.0499999999993</v>
      </c>
      <c r="Y79" s="588" t="s">
        <v>812</v>
      </c>
      <c r="Z79" s="157" t="str">
        <f>IF(ISNUMBER(TAS!K73),TAS!K73,"")</f>
        <v/>
      </c>
      <c r="AA79" s="589" t="s">
        <v>812</v>
      </c>
      <c r="AB79" s="158">
        <f>IF(ISNUMBER(TAS!L73),TAS!L73,"")</f>
        <v>8</v>
      </c>
      <c r="AC79" s="588" t="s">
        <v>812</v>
      </c>
      <c r="AD79" s="157">
        <f>IF(ISNUMBER(Vic!K73),Vic!K73,"")</f>
        <v>5313.0449999999973</v>
      </c>
      <c r="AE79" s="596" t="s">
        <v>812</v>
      </c>
      <c r="AF79" s="158">
        <f>IF(ISNUMBER(Vic!L73),Vic!L73,"")</f>
        <v>5398.2180000000008</v>
      </c>
      <c r="AG79" s="593" t="s">
        <v>812</v>
      </c>
      <c r="AH79" s="157">
        <f>IF(ISNUMBER(WA!L73),WA!L73,"")</f>
        <v>1868.3677599999719</v>
      </c>
      <c r="AI79" s="589" t="s">
        <v>812</v>
      </c>
      <c r="AJ79" s="158">
        <f>IF(ISNUMBER(WA!M73),WA!M73,"")</f>
        <v>1420.6273139999744</v>
      </c>
      <c r="AK79" s="588" t="s">
        <v>812</v>
      </c>
      <c r="AL79" s="768"/>
      <c r="AM79" s="599">
        <f>IF(ISNUMBER(ACT!K73),ACT!K73*1000000/AM$7,"")</f>
        <v>213.1943621935331</v>
      </c>
      <c r="AN79" s="600">
        <f>IF(ISNUMBER(ACT!L73),ACT!L73*1000000/AN$7,"")</f>
        <v>330.13446730260887</v>
      </c>
      <c r="AO79" s="601">
        <f>IF(ISNUMBER(NSW!K73),NSW!K73*1000000/AO$7,"")</f>
        <v>22.407665663801104</v>
      </c>
      <c r="AP79" s="601">
        <f>IF(ISNUMBER(NSW!L73),NSW!L73*1000000/AP$7,"")</f>
        <v>7.3257263851311709</v>
      </c>
      <c r="AQ79" s="599" t="str">
        <f>IF(ISNUMBER(NT!K73),NT!K73*1000000/AQ$7,"")</f>
        <v/>
      </c>
      <c r="AR79" s="600">
        <f>IF(ISNUMBER(NT!L73),NT!L73*1000000/AR$7,"")</f>
        <v>1227.9530060339766</v>
      </c>
      <c r="AS79" s="599" t="str">
        <f>IF(ISNUMBER(Qld!K73),Qld!K73*1000000/AS$7,"")</f>
        <v/>
      </c>
      <c r="AT79" s="600">
        <f>IF(ISNUMBER(Qld!L73),Qld!L73*1000000/AT$7,"")</f>
        <v>5268.8966314358677</v>
      </c>
      <c r="AU79" s="599" t="str">
        <f>IF(ISNUMBER(SA!K73),SA!K73*1000000/AU$7,"")</f>
        <v/>
      </c>
      <c r="AV79" s="600">
        <f>IF(ISNUMBER(SA!L73),SA!L73*1000000/AV$7,"")</f>
        <v>3448.7072684981977</v>
      </c>
      <c r="AW79" s="601" t="str">
        <f>IF(ISNUMBER(TAS!K73),TAS!K73*1000000/AW$7,"")</f>
        <v/>
      </c>
      <c r="AX79" s="601">
        <f>IF(ISNUMBER(TAS!L73),TAS!L73*1000000/AX$7,"")</f>
        <v>15.582391897156214</v>
      </c>
      <c r="AY79" s="599">
        <f>IF(ISNUMBER(Vic!K73),Vic!K73*1000000/AY$7,"")</f>
        <v>929.71400643497282</v>
      </c>
      <c r="AZ79" s="600">
        <f>IF(ISNUMBER(Vic!L73),Vic!L73*1000000/AZ$7,"")</f>
        <v>935.86806145481921</v>
      </c>
      <c r="BA79" s="601">
        <f>IF(ISNUMBER(WA!L73),WA!L73*1000000/BA$7,"")</f>
        <v>746.62586341592896</v>
      </c>
      <c r="BB79" s="601">
        <f>IF(ISNUMBER(WA!M73),WA!M73*1000000/BB$7,"")</f>
        <v>559.97384027215901</v>
      </c>
      <c r="BC79" s="616">
        <f t="shared" si="2"/>
        <v>1142.1986075823463</v>
      </c>
      <c r="BE79" s="599">
        <v>734.03774921266381</v>
      </c>
      <c r="BF79" s="601"/>
      <c r="BG79" s="601">
        <f>SUM([2]NT!M73:N73)</f>
        <v>124.47</v>
      </c>
      <c r="BH79" s="601"/>
      <c r="BI79" s="601">
        <v>3910.2093675115229</v>
      </c>
      <c r="BJ79" s="601">
        <v>1.8076111274130855</v>
      </c>
      <c r="BK79" s="601">
        <v>1927.7464488180967</v>
      </c>
      <c r="BL79" s="600">
        <v>355.51350114200324</v>
      </c>
    </row>
    <row r="80" spans="2:64">
      <c r="B80" s="903"/>
      <c r="C80" s="873"/>
      <c r="D80" s="602" t="s">
        <v>73</v>
      </c>
      <c r="E80" s="620" t="s">
        <v>130</v>
      </c>
      <c r="F80" s="154">
        <f>IF(ISNUMBER(ACT!K74),ACT!K74,"")</f>
        <v>330</v>
      </c>
      <c r="G80" s="591" t="s">
        <v>812</v>
      </c>
      <c r="H80" s="155">
        <f>IF(ISNUMBER(ACT!L74),ACT!L74,"")</f>
        <v>156.5</v>
      </c>
      <c r="I80" s="592" t="s">
        <v>812</v>
      </c>
      <c r="J80" s="155">
        <f>IF(ISNUMBER(NSW!K74),NSW!K74,"")</f>
        <v>40.702000000000005</v>
      </c>
      <c r="K80" s="743"/>
      <c r="L80" s="155">
        <f>IF(ISNUMBER(NSW!L74),NSW!L74,"")</f>
        <v>49.72399999999999</v>
      </c>
      <c r="M80" s="744"/>
      <c r="N80" s="154" t="str">
        <f>IF(ISNUMBER(NT!K74),NT!K74,"")</f>
        <v/>
      </c>
      <c r="O80" s="591" t="s">
        <v>812</v>
      </c>
      <c r="P80" s="155">
        <f>IF(ISNUMBER(NT!L74),NT!L74,"")</f>
        <v>0</v>
      </c>
      <c r="Q80" s="592" t="s">
        <v>812</v>
      </c>
      <c r="R80" s="154" t="str">
        <f>IF(ISNUMBER(Qld!K74),Qld!K74,"")</f>
        <v/>
      </c>
      <c r="S80" s="591" t="s">
        <v>812</v>
      </c>
      <c r="T80" s="155">
        <f>IF(ISNUMBER(Qld!L74),Qld!L74,"")</f>
        <v>1782</v>
      </c>
      <c r="U80" s="592" t="s">
        <v>812</v>
      </c>
      <c r="V80" s="154" t="str">
        <f>IF(ISNUMBER(SA!K74),SA!K74,"")</f>
        <v/>
      </c>
      <c r="W80" s="591" t="s">
        <v>812</v>
      </c>
      <c r="X80" s="155">
        <f>IF(ISNUMBER(SA!L74),SA!L74,"")</f>
        <v>372.27</v>
      </c>
      <c r="Y80" s="592" t="s">
        <v>812</v>
      </c>
      <c r="Z80" s="154" t="str">
        <f>IF(ISNUMBER(TAS!K74),TAS!K74,"")</f>
        <v/>
      </c>
      <c r="AA80" s="591" t="s">
        <v>812</v>
      </c>
      <c r="AB80" s="155">
        <f>IF(ISNUMBER(TAS!L74),TAS!L74,"")</f>
        <v>14.123999999999999</v>
      </c>
      <c r="AC80" s="592" t="s">
        <v>812</v>
      </c>
      <c r="AD80" s="154">
        <f>IF(ISNUMBER(Vic!K74),Vic!K74,"")</f>
        <v>472.36099999999982</v>
      </c>
      <c r="AE80" s="595" t="s">
        <v>812</v>
      </c>
      <c r="AF80" s="155">
        <f>IF(ISNUMBER(Vic!L74),Vic!L74,"")</f>
        <v>247.98399999999998</v>
      </c>
      <c r="AG80" s="594" t="s">
        <v>812</v>
      </c>
      <c r="AH80" s="154">
        <f>IF(ISNUMBER(WA!L74),WA!L74,"")</f>
        <v>0</v>
      </c>
      <c r="AI80" s="591" t="s">
        <v>812</v>
      </c>
      <c r="AJ80" s="155">
        <f>IF(ISNUMBER(WA!M74),WA!M74,"")</f>
        <v>0</v>
      </c>
      <c r="AK80" s="592" t="s">
        <v>812</v>
      </c>
      <c r="AL80" s="768"/>
      <c r="AM80" s="604">
        <f>IF(ISNUMBER(ACT!K74),ACT!K74*1000000/AM$7,"")</f>
        <v>868.56962375143121</v>
      </c>
      <c r="AN80" s="605">
        <f>IF(ISNUMBER(ACT!L74),ACT!L74*1000000/AN$7,"")</f>
        <v>408.7826895550146</v>
      </c>
      <c r="AO80" s="606">
        <f>IF(ISNUMBER(NSW!K74),NSW!K74*1000000/AO$7,"")</f>
        <v>5.5130516099215976</v>
      </c>
      <c r="AP80" s="606">
        <f>IF(ISNUMBER(NSW!L74),NSW!L74*1000000/AP$7,"")</f>
        <v>6.6847933856521076</v>
      </c>
      <c r="AQ80" s="604" t="str">
        <f>IF(ISNUMBER(NT!K74),NT!K74*1000000/AQ$7,"")</f>
        <v/>
      </c>
      <c r="AR80" s="605">
        <f>IF(ISNUMBER(NT!L74),NT!L74*1000000/AR$7,"")</f>
        <v>0</v>
      </c>
      <c r="AS80" s="604" t="str">
        <f>IF(ISNUMBER(Qld!K74),Qld!K74*1000000/AS$7,"")</f>
        <v/>
      </c>
      <c r="AT80" s="605">
        <f>IF(ISNUMBER(Qld!L74),Qld!L74*1000000/AT$7,"")</f>
        <v>381.20884276162059</v>
      </c>
      <c r="AU80" s="604" t="str">
        <f>IF(ISNUMBER(SA!K74),SA!K74*1000000/AU$7,"")</f>
        <v/>
      </c>
      <c r="AV80" s="605">
        <f>IF(ISNUMBER(SA!L74),SA!L74*1000000/AV$7,"")</f>
        <v>222.30980768024938</v>
      </c>
      <c r="AW80" s="606" t="str">
        <f>IF(ISNUMBER(TAS!K74),TAS!K74*1000000/AW$7,"")</f>
        <v/>
      </c>
      <c r="AX80" s="606">
        <f>IF(ISNUMBER(TAS!L74),TAS!L74*1000000/AX$7,"")</f>
        <v>27.51071289442929</v>
      </c>
      <c r="AY80" s="604">
        <f>IF(ISNUMBER(Vic!K74),Vic!K74*1000000/AY$7,"")</f>
        <v>82.657052178859814</v>
      </c>
      <c r="AZ80" s="605">
        <f>IF(ISNUMBER(Vic!L74),Vic!L74*1000000/AZ$7,"")</f>
        <v>42.992021691567814</v>
      </c>
      <c r="BA80" s="606">
        <f>IF(ISNUMBER(WA!L74),WA!L74*1000000/BA$7,"")</f>
        <v>0</v>
      </c>
      <c r="BB80" s="606">
        <f>IF(ISNUMBER(WA!M74),WA!M74*1000000/BB$7,"")</f>
        <v>0</v>
      </c>
      <c r="BC80" s="617">
        <f t="shared" si="2"/>
        <v>170.51904962572888</v>
      </c>
      <c r="BE80" s="604">
        <v>4.6556061298482589</v>
      </c>
      <c r="BF80" s="606"/>
      <c r="BG80" s="606">
        <f>SUM([2]NT!M74:N74)</f>
        <v>0</v>
      </c>
      <c r="BH80" s="606">
        <v>5233.3949007092306</v>
      </c>
      <c r="BI80" s="606">
        <v>196.59747474478201</v>
      </c>
      <c r="BJ80" s="606">
        <v>7.9480661272353359</v>
      </c>
      <c r="BK80" s="606">
        <v>177.12078378308752</v>
      </c>
      <c r="BL80" s="605">
        <v>355.51350114200324</v>
      </c>
    </row>
    <row r="81" spans="2:64">
      <c r="B81" s="904"/>
      <c r="C81" s="874"/>
      <c r="D81" s="614" t="s">
        <v>74</v>
      </c>
      <c r="E81" s="622" t="s">
        <v>131</v>
      </c>
      <c r="F81" s="774">
        <f>IF(ISNUMBER(ACT!K75),ACT!K75,"")</f>
        <v>0</v>
      </c>
      <c r="G81" s="770" t="s">
        <v>812</v>
      </c>
      <c r="H81" s="769">
        <f>IF(ISNUMBER(ACT!L75),ACT!L75,"")</f>
        <v>0</v>
      </c>
      <c r="I81" s="771" t="s">
        <v>812</v>
      </c>
      <c r="J81" s="769">
        <f>IF(ISNUMBER(NSW!K75),NSW!K75,"")</f>
        <v>182.66380000000004</v>
      </c>
      <c r="K81" s="770" t="s">
        <v>812</v>
      </c>
      <c r="L81" s="769">
        <f>IF(ISNUMBER(NSW!L75),NSW!L75,"")</f>
        <v>188.49996000000004</v>
      </c>
      <c r="M81" s="771" t="s">
        <v>812</v>
      </c>
      <c r="N81" s="774" t="str">
        <f>IF(ISNUMBER(NT!K75),NT!K75,"")</f>
        <v/>
      </c>
      <c r="O81" s="770" t="s">
        <v>812</v>
      </c>
      <c r="P81" s="769">
        <f>IF(ISNUMBER(NT!L75),NT!L75,"")</f>
        <v>0</v>
      </c>
      <c r="Q81" s="771" t="s">
        <v>812</v>
      </c>
      <c r="R81" s="774" t="str">
        <f>IF(ISNUMBER(Qld!K75),Qld!K75,"")</f>
        <v/>
      </c>
      <c r="S81" s="770" t="s">
        <v>812</v>
      </c>
      <c r="T81" s="769">
        <f>IF(ISNUMBER(Qld!L75),Qld!L75,"")</f>
        <v>76</v>
      </c>
      <c r="U81" s="771" t="s">
        <v>812</v>
      </c>
      <c r="V81" s="774" t="str">
        <f>IF(ISNUMBER(SA!K75),SA!K75,"")</f>
        <v/>
      </c>
      <c r="W81" s="770" t="s">
        <v>812</v>
      </c>
      <c r="X81" s="769">
        <f>IF(ISNUMBER(SA!L75),SA!L75,"")</f>
        <v>5.37</v>
      </c>
      <c r="Y81" s="771" t="s">
        <v>812</v>
      </c>
      <c r="Z81" s="774" t="str">
        <f>IF(ISNUMBER(TAS!K75),TAS!K75,"")</f>
        <v/>
      </c>
      <c r="AA81" s="770" t="s">
        <v>812</v>
      </c>
      <c r="AB81" s="769" t="str">
        <f>IF(ISNUMBER(TAS!L75),TAS!L75,"")</f>
        <v/>
      </c>
      <c r="AC81" s="771" t="s">
        <v>812</v>
      </c>
      <c r="AD81" s="774">
        <f>IF(ISNUMBER(Vic!K75),Vic!K75,"")</f>
        <v>404.83299999999997</v>
      </c>
      <c r="AE81" s="772" t="s">
        <v>812</v>
      </c>
      <c r="AF81" s="769">
        <f>IF(ISNUMBER(Vic!L75),Vic!L75,"")</f>
        <v>305.98</v>
      </c>
      <c r="AG81" s="773" t="s">
        <v>812</v>
      </c>
      <c r="AH81" s="774">
        <f>IF(ISNUMBER(WA!L75),WA!L75,"")</f>
        <v>0</v>
      </c>
      <c r="AI81" s="770" t="s">
        <v>812</v>
      </c>
      <c r="AJ81" s="769">
        <f>IF(ISNUMBER(WA!M75),WA!M75,"")</f>
        <v>0</v>
      </c>
      <c r="AK81" s="771" t="s">
        <v>812</v>
      </c>
      <c r="AL81" s="768"/>
      <c r="AM81" s="788">
        <f>IF(ISNUMBER(ACT!K75),ACT!K75*1000000/AM$7,"")</f>
        <v>0</v>
      </c>
      <c r="AN81" s="790">
        <f>IF(ISNUMBER(ACT!L75),ACT!L75*1000000/AN$7,"")</f>
        <v>0</v>
      </c>
      <c r="AO81" s="777">
        <f>IF(ISNUMBER(NSW!K75),NSW!K75*1000000/AO$7,"")</f>
        <v>24.741657821836682</v>
      </c>
      <c r="AP81" s="777">
        <f>IF(ISNUMBER(NSW!L75),NSW!L75*1000000/AP$7,"")</f>
        <v>25.341551078024438</v>
      </c>
      <c r="AQ81" s="788" t="str">
        <f>IF(ISNUMBER(NT!K75),NT!K75*1000000/AQ$7,"")</f>
        <v/>
      </c>
      <c r="AR81" s="790">
        <f>IF(ISNUMBER(NT!L75),NT!L75*1000000/AR$7,"")</f>
        <v>0</v>
      </c>
      <c r="AS81" s="788" t="str">
        <f>IF(ISNUMBER(Qld!K75),Qld!K75*1000000/AS$7,"")</f>
        <v/>
      </c>
      <c r="AT81" s="790">
        <f>IF(ISNUMBER(Qld!L75),Qld!L75*1000000/AT$7,"")</f>
        <v>16.258065123391226</v>
      </c>
      <c r="AU81" s="788" t="str">
        <f>IF(ISNUMBER(SA!K75),SA!K75*1000000/AU$7,"")</f>
        <v/>
      </c>
      <c r="AV81" s="790">
        <f>IF(ISNUMBER(SA!L75),SA!L75*1000000/AV$7,"")</f>
        <v>3.2068221109488788</v>
      </c>
      <c r="AW81" s="777" t="str">
        <f>IF(ISNUMBER(TAS!K75),TAS!K75*1000000/AW$7,"")</f>
        <v/>
      </c>
      <c r="AX81" s="777" t="str">
        <f>IF(ISNUMBER(TAS!L75),TAS!L75*1000000/AX$7,"")</f>
        <v/>
      </c>
      <c r="AY81" s="788">
        <f>IF(ISNUMBER(Vic!K75),Vic!K75*1000000/AY$7,"")</f>
        <v>70.840527487926323</v>
      </c>
      <c r="AZ81" s="790">
        <f>IF(ISNUMBER(Vic!L75),Vic!L75*1000000/AZ$7,"")</f>
        <v>53.046562670115499</v>
      </c>
      <c r="BA81" s="777">
        <f>IF(ISNUMBER(WA!L75),WA!L75*1000000/BA$7,"")</f>
        <v>0</v>
      </c>
      <c r="BB81" s="777">
        <f>IF(ISNUMBER(WA!M75),WA!M75*1000000/BB$7,"")</f>
        <v>0</v>
      </c>
      <c r="BC81" s="787">
        <f t="shared" si="2"/>
        <v>17.585016935658459</v>
      </c>
      <c r="BE81" s="788">
        <v>0</v>
      </c>
      <c r="BF81" s="777">
        <v>876.60310674662946</v>
      </c>
      <c r="BG81" s="777">
        <f>SUM([2]NT!M75:N75)</f>
        <v>0</v>
      </c>
      <c r="BH81" s="777">
        <v>286.24573597590006</v>
      </c>
      <c r="BI81" s="777">
        <v>3.6152222548261712E-2</v>
      </c>
      <c r="BJ81" s="777"/>
      <c r="BK81" s="777">
        <v>71.169975438667763</v>
      </c>
      <c r="BL81" s="790">
        <v>355.51350114200324</v>
      </c>
    </row>
    <row r="82" spans="2:64">
      <c r="B82" s="902" t="s">
        <v>75</v>
      </c>
      <c r="C82" s="872" t="s">
        <v>76</v>
      </c>
      <c r="D82" s="602" t="s">
        <v>77</v>
      </c>
      <c r="E82" s="620" t="s">
        <v>171</v>
      </c>
      <c r="F82" s="157">
        <f>IF(ISNUMBER(ACT!K76),ACT!K76,"")</f>
        <v>18.87</v>
      </c>
      <c r="G82" s="589" t="s">
        <v>812</v>
      </c>
      <c r="H82" s="158">
        <f>IF(ISNUMBER(ACT!L76),ACT!L76,"")</f>
        <v>30.52</v>
      </c>
      <c r="I82" s="588" t="s">
        <v>812</v>
      </c>
      <c r="J82" s="158">
        <f>IF(ISNUMBER(NSW!K76),NSW!K76,"")</f>
        <v>1133.1767380000008</v>
      </c>
      <c r="K82" s="589" t="s">
        <v>812</v>
      </c>
      <c r="L82" s="158">
        <f>IF(ISNUMBER(NSW!L76),NSW!L76,"")</f>
        <v>1215.225015</v>
      </c>
      <c r="M82" s="588" t="s">
        <v>812</v>
      </c>
      <c r="N82" s="157" t="str">
        <f>IF(ISNUMBER(NT!K76),NT!K76,"")</f>
        <v/>
      </c>
      <c r="O82" s="589" t="s">
        <v>812</v>
      </c>
      <c r="P82" s="158">
        <f>IF(ISNUMBER(NT!L76),NT!L76,"")</f>
        <v>296.87536131220048</v>
      </c>
      <c r="Q82" s="588" t="s">
        <v>812</v>
      </c>
      <c r="R82" s="157" t="str">
        <f>IF(ISNUMBER(Qld!K76),Qld!K76,"")</f>
        <v/>
      </c>
      <c r="S82" s="589" t="s">
        <v>812</v>
      </c>
      <c r="T82" s="158">
        <f>IF(ISNUMBER(Qld!L76),Qld!L76,"")</f>
        <v>1117</v>
      </c>
      <c r="U82" s="588" t="s">
        <v>812</v>
      </c>
      <c r="V82" s="157" t="str">
        <f>IF(ISNUMBER(SA!K76),SA!K76,"")</f>
        <v/>
      </c>
      <c r="W82" s="589" t="s">
        <v>812</v>
      </c>
      <c r="X82" s="158">
        <f>IF(ISNUMBER(SA!L76),SA!L76,"")</f>
        <v>345.70000000000005</v>
      </c>
      <c r="Y82" s="588" t="s">
        <v>812</v>
      </c>
      <c r="Z82" s="157" t="str">
        <f>IF(ISNUMBER(TAS!K76),TAS!K76,"")</f>
        <v/>
      </c>
      <c r="AA82" s="589" t="s">
        <v>812</v>
      </c>
      <c r="AB82" s="158">
        <f>IF(ISNUMBER(TAS!L76),TAS!L76,"")</f>
        <v>6.5909999999999993</v>
      </c>
      <c r="AC82" s="588" t="s">
        <v>812</v>
      </c>
      <c r="AD82" s="157">
        <f>IF(ISNUMBER(Vic!K76),Vic!K76,"")</f>
        <v>657.35499999999934</v>
      </c>
      <c r="AE82" s="596" t="s">
        <v>812</v>
      </c>
      <c r="AF82" s="158">
        <f>IF(ISNUMBER(Vic!L76),Vic!L76,"")</f>
        <v>550.38700000000006</v>
      </c>
      <c r="AG82" s="593" t="s">
        <v>812</v>
      </c>
      <c r="AH82" s="157">
        <f>IF(ISNUMBER(WA!L76),WA!L76,"")</f>
        <v>243.97452500000006</v>
      </c>
      <c r="AI82" s="589" t="s">
        <v>812</v>
      </c>
      <c r="AJ82" s="158">
        <f>IF(ISNUMBER(WA!M76),WA!M76,"")</f>
        <v>291.63421000000011</v>
      </c>
      <c r="AK82" s="588" t="s">
        <v>812</v>
      </c>
      <c r="AL82" s="768"/>
      <c r="AM82" s="604">
        <f>IF(ISNUMBER(ACT!K76),ACT!K76*1000000/AM$7,"")</f>
        <v>49.666390303604565</v>
      </c>
      <c r="AN82" s="605">
        <f>IF(ISNUMBER(ACT!L76),ACT!L76*1000000/AN$7,"")</f>
        <v>79.719154538140856</v>
      </c>
      <c r="AO82" s="606">
        <f>IF(ISNUMBER(NSW!K76),NSW!K76*1000000/AO$7,"")</f>
        <v>153.48783449846709</v>
      </c>
      <c r="AP82" s="606">
        <f>IF(ISNUMBER(NSW!L76),NSW!L76*1000000/AP$7,"")</f>
        <v>163.37237837565328</v>
      </c>
      <c r="AQ82" s="604" t="str">
        <f>IF(ISNUMBER(NT!K76),NT!K76*1000000/AQ$7,"")</f>
        <v/>
      </c>
      <c r="AR82" s="605">
        <f>IF(ISNUMBER(NT!L76),NT!L76*1000000/AR$7,"")</f>
        <v>1225.6839517125513</v>
      </c>
      <c r="AS82" s="599" t="str">
        <f>IF(ISNUMBER(Qld!K76),Qld!K76*1000000/AS$7,"")</f>
        <v/>
      </c>
      <c r="AT82" s="600">
        <f>IF(ISNUMBER(Qld!L76),Qld!L76*1000000/AT$7,"")</f>
        <v>238.95077293194737</v>
      </c>
      <c r="AU82" s="604" t="str">
        <f>IF(ISNUMBER(SA!K76),SA!K76*1000000/AU$7,"")</f>
        <v/>
      </c>
      <c r="AV82" s="605">
        <f>IF(ISNUMBER(SA!L76),SA!L76*1000000/AV$7,"")</f>
        <v>206.44290572719322</v>
      </c>
      <c r="AW82" s="606" t="str">
        <f>IF(ISNUMBER(TAS!K76),TAS!K76*1000000/AW$7,"")</f>
        <v/>
      </c>
      <c r="AX82" s="606">
        <f>IF(ISNUMBER(TAS!L76),TAS!L76*1000000/AX$7,"")</f>
        <v>12.837943124269573</v>
      </c>
      <c r="AY82" s="604">
        <f>IF(ISNUMBER(Vic!K76),Vic!K76*1000000/AY$7,"")</f>
        <v>115.0286042561396</v>
      </c>
      <c r="AZ82" s="605">
        <f>IF(ISNUMBER(Vic!L76),Vic!L76*1000000/AZ$7,"")</f>
        <v>95.418453782328442</v>
      </c>
      <c r="BA82" s="606">
        <f>IF(ISNUMBER(WA!L76),WA!L76*1000000/BA$7,"")</f>
        <v>97.495629222171402</v>
      </c>
      <c r="BB82" s="606">
        <f>IF(ISNUMBER(WA!M76),WA!M76*1000000/BB$7,"")</f>
        <v>114.95451827448129</v>
      </c>
      <c r="BC82" s="616">
        <f t="shared" si="2"/>
        <v>212.75487806224569</v>
      </c>
      <c r="BE82" s="604">
        <v>101.90890364864103</v>
      </c>
      <c r="BF82" s="606">
        <v>6928.9307947708548</v>
      </c>
      <c r="BG82" s="606">
        <f>SUM([2]NT!M76:N76)</f>
        <v>124.24000000000001</v>
      </c>
      <c r="BH82" s="606">
        <v>9.6290614548467914</v>
      </c>
      <c r="BI82" s="606">
        <v>239.5115048389423</v>
      </c>
      <c r="BJ82" s="606">
        <v>3.7092180334516516</v>
      </c>
      <c r="BK82" s="606">
        <v>183.99210768031838</v>
      </c>
      <c r="BL82" s="605">
        <v>186.16329309056891</v>
      </c>
    </row>
    <row r="83" spans="2:64">
      <c r="B83" s="903"/>
      <c r="C83" s="873"/>
      <c r="D83" s="602" t="s">
        <v>78</v>
      </c>
      <c r="E83" s="620" t="s">
        <v>132</v>
      </c>
      <c r="F83" s="154">
        <f>IF(ISNUMBER(ACT!K77),ACT!K77,"")</f>
        <v>13</v>
      </c>
      <c r="G83" s="591" t="s">
        <v>812</v>
      </c>
      <c r="H83" s="155">
        <f>IF(ISNUMBER(ACT!L77),ACT!L77,"")</f>
        <v>7.44</v>
      </c>
      <c r="I83" s="592" t="s">
        <v>812</v>
      </c>
      <c r="J83" s="155">
        <f>IF(ISNUMBER(NSW!K77),NSW!K77,"")</f>
        <v>84.731099999999984</v>
      </c>
      <c r="K83" s="591" t="s">
        <v>812</v>
      </c>
      <c r="L83" s="155">
        <f>IF(ISNUMBER(NSW!L77),NSW!L77,"")</f>
        <v>59.213500000000025</v>
      </c>
      <c r="M83" s="592" t="s">
        <v>812</v>
      </c>
      <c r="N83" s="154" t="str">
        <f>IF(ISNUMBER(NT!K77),NT!K77,"")</f>
        <v/>
      </c>
      <c r="O83" s="591" t="s">
        <v>812</v>
      </c>
      <c r="P83" s="155">
        <f>IF(ISNUMBER(NT!L77),NT!L77,"")</f>
        <v>0</v>
      </c>
      <c r="Q83" s="592" t="s">
        <v>812</v>
      </c>
      <c r="R83" s="154" t="str">
        <f>IF(ISNUMBER(Qld!K77),Qld!K77,"")</f>
        <v/>
      </c>
      <c r="S83" s="591" t="s">
        <v>812</v>
      </c>
      <c r="T83" s="155">
        <f>IF(ISNUMBER(Qld!L77),Qld!L77,"")</f>
        <v>159</v>
      </c>
      <c r="U83" s="592" t="s">
        <v>812</v>
      </c>
      <c r="V83" s="154" t="str">
        <f>IF(ISNUMBER(SA!K77),SA!K77,"")</f>
        <v/>
      </c>
      <c r="W83" s="591" t="s">
        <v>812</v>
      </c>
      <c r="X83" s="155">
        <f>IF(ISNUMBER(SA!L77),SA!L77,"")</f>
        <v>10.45</v>
      </c>
      <c r="Y83" s="592" t="s">
        <v>812</v>
      </c>
      <c r="Z83" s="154" t="str">
        <f>IF(ISNUMBER(TAS!K77),TAS!K77,"")</f>
        <v/>
      </c>
      <c r="AA83" s="591" t="s">
        <v>812</v>
      </c>
      <c r="AB83" s="155">
        <f>IF(ISNUMBER(TAS!L77),TAS!L77,"")</f>
        <v>6.5250000000000004</v>
      </c>
      <c r="AC83" s="592" t="s">
        <v>812</v>
      </c>
      <c r="AD83" s="154">
        <f>IF(ISNUMBER(Vic!K77),Vic!K77,"")</f>
        <v>263.78399999999999</v>
      </c>
      <c r="AE83" s="595" t="s">
        <v>812</v>
      </c>
      <c r="AF83" s="155">
        <f>IF(ISNUMBER(Vic!L77),Vic!L77,"")</f>
        <v>212.29899999999998</v>
      </c>
      <c r="AG83" s="594" t="s">
        <v>812</v>
      </c>
      <c r="AH83" s="154">
        <f>IF(ISNUMBER(WA!L77),WA!L77,"")</f>
        <v>3.1224499999999997</v>
      </c>
      <c r="AI83" s="591" t="s">
        <v>812</v>
      </c>
      <c r="AJ83" s="155">
        <f>IF(ISNUMBER(WA!M77),WA!M77,"")</f>
        <v>6.3480000000000016</v>
      </c>
      <c r="AK83" s="592" t="s">
        <v>812</v>
      </c>
      <c r="AL83" s="768"/>
      <c r="AM83" s="604">
        <f>IF(ISNUMBER(ACT!K77),ACT!K77*1000000/AM$7,"")</f>
        <v>34.216379117480621</v>
      </c>
      <c r="AN83" s="605">
        <f>IF(ISNUMBER(ACT!L77),ACT!L77*1000000/AN$7,"")</f>
        <v>19.43350294114574</v>
      </c>
      <c r="AO83" s="606">
        <f>IF(ISNUMBER(NSW!K77),NSW!K77*1000000/AO$7,"")</f>
        <v>11.476756111872334</v>
      </c>
      <c r="AP83" s="606">
        <f>IF(ISNUMBER(NSW!L77),NSW!L77*1000000/AP$7,"")</f>
        <v>7.9605424571899137</v>
      </c>
      <c r="AQ83" s="604" t="str">
        <f>IF(ISNUMBER(NT!K77),NT!K77*1000000/AQ$7,"")</f>
        <v/>
      </c>
      <c r="AR83" s="605">
        <f>IF(ISNUMBER(NT!L77),NT!L77*1000000/AR$7,"")</f>
        <v>0</v>
      </c>
      <c r="AS83" s="604" t="str">
        <f>IF(ISNUMBER(Qld!K77),Qld!K77*1000000/AS$7,"")</f>
        <v/>
      </c>
      <c r="AT83" s="605">
        <f>IF(ISNUMBER(Qld!L77),Qld!L77*1000000/AT$7,"")</f>
        <v>34.013583613410596</v>
      </c>
      <c r="AU83" s="604" t="str">
        <f>IF(ISNUMBER(SA!K77),SA!K77*1000000/AU$7,"")</f>
        <v/>
      </c>
      <c r="AV83" s="605">
        <f>IF(ISNUMBER(SA!L77),SA!L77*1000000/AV$7,"")</f>
        <v>6.2404638844349689</v>
      </c>
      <c r="AW83" s="606" t="str">
        <f>IF(ISNUMBER(TAS!K77),TAS!K77*1000000/AW$7,"")</f>
        <v/>
      </c>
      <c r="AX83" s="606">
        <f>IF(ISNUMBER(TAS!L77),TAS!L77*1000000/AX$7,"")</f>
        <v>12.709388391118036</v>
      </c>
      <c r="AY83" s="604">
        <f>IF(ISNUMBER(Vic!K77),Vic!K77*1000000/AY$7,"")</f>
        <v>46.158780788313109</v>
      </c>
      <c r="AZ83" s="605">
        <f>IF(ISNUMBER(Vic!L77),Vic!L77*1000000/AZ$7,"")</f>
        <v>36.805452017461427</v>
      </c>
      <c r="BA83" s="606">
        <f>IF(ISNUMBER(WA!L77),WA!L77*1000000/BA$7,"")</f>
        <v>1.2477746496884008</v>
      </c>
      <c r="BB83" s="606">
        <f>IF(ISNUMBER(WA!M77),WA!M77*1000000/BB$7,"")</f>
        <v>2.5022142704259802</v>
      </c>
      <c r="BC83" s="617">
        <f t="shared" si="2"/>
        <v>17.730403186878426</v>
      </c>
      <c r="BE83" s="604">
        <v>87.789442077879386</v>
      </c>
      <c r="BF83" s="606">
        <v>576.31178322869675</v>
      </c>
      <c r="BG83" s="606">
        <f>SUM([2]NT!M77:N77)</f>
        <v>0</v>
      </c>
      <c r="BH83" s="606">
        <v>188.20438298109639</v>
      </c>
      <c r="BI83" s="606">
        <v>12.072415310329733</v>
      </c>
      <c r="BJ83" s="606">
        <v>1.5906977921235153</v>
      </c>
      <c r="BK83" s="606">
        <v>149.71162482400251</v>
      </c>
      <c r="BL83" s="605">
        <v>1.6599565481309539</v>
      </c>
    </row>
    <row r="84" spans="2:64">
      <c r="B84" s="903"/>
      <c r="C84" s="873"/>
      <c r="D84" s="602" t="s">
        <v>134</v>
      </c>
      <c r="E84" s="620" t="s">
        <v>133</v>
      </c>
      <c r="F84" s="154">
        <f>IF(ISNUMBER(ACT!K78),ACT!K78,"")</f>
        <v>2082.9</v>
      </c>
      <c r="G84" s="743"/>
      <c r="H84" s="155">
        <f>IF(ISNUMBER(ACT!L78),ACT!L78,"")</f>
        <v>2108.9</v>
      </c>
      <c r="I84" s="744"/>
      <c r="J84" s="155">
        <f>IF(ISNUMBER(NSW!K78),NSW!K78,"")</f>
        <v>690.29999999999984</v>
      </c>
      <c r="K84" s="743"/>
      <c r="L84" s="155">
        <f>IF(ISNUMBER(NSW!L78),NSW!L78,"")</f>
        <v>716.24</v>
      </c>
      <c r="M84" s="744"/>
      <c r="N84" s="154" t="str">
        <f>IF(ISNUMBER(NT!K78),NT!K78,"")</f>
        <v/>
      </c>
      <c r="O84" s="743"/>
      <c r="P84" s="155">
        <f>IF(ISNUMBER(NT!L78),NT!L78,"")</f>
        <v>0</v>
      </c>
      <c r="Q84" s="744"/>
      <c r="R84" s="154" t="str">
        <f>IF(ISNUMBER(Qld!K78),Qld!K78,"")</f>
        <v/>
      </c>
      <c r="S84" s="743"/>
      <c r="T84" s="155">
        <f>IF(ISNUMBER(Qld!L78),Qld!L78,"")</f>
        <v>39961</v>
      </c>
      <c r="U84" s="744"/>
      <c r="V84" s="154" t="str">
        <f>IF(ISNUMBER(SA!K78),SA!K78,"")</f>
        <v/>
      </c>
      <c r="W84" s="743"/>
      <c r="X84" s="155">
        <f>IF(ISNUMBER(SA!L78),SA!L78,"")</f>
        <v>0</v>
      </c>
      <c r="Y84" s="744"/>
      <c r="Z84" s="154" t="str">
        <f>IF(ISNUMBER(TAS!K78),TAS!K78,"")</f>
        <v/>
      </c>
      <c r="AA84" s="743"/>
      <c r="AB84" s="155" t="str">
        <f>IF(ISNUMBER(TAS!L78),TAS!L78,"")</f>
        <v/>
      </c>
      <c r="AC84" s="744"/>
      <c r="AD84" s="154" t="str">
        <f>IF(ISNUMBER(Vic!K78),Vic!K78,"")</f>
        <v/>
      </c>
      <c r="AE84" s="745"/>
      <c r="AF84" s="155" t="str">
        <f>IF(ISNUMBER(Vic!L78),Vic!L78,"")</f>
        <v/>
      </c>
      <c r="AG84" s="746"/>
      <c r="AH84" s="154">
        <f>IF(ISNUMBER(WA!L78),WA!L78,"")</f>
        <v>18181.719820000035</v>
      </c>
      <c r="AI84" s="743"/>
      <c r="AJ84" s="155">
        <f>IF(ISNUMBER(WA!M78),WA!M78,"")</f>
        <v>18199.786079999965</v>
      </c>
      <c r="AK84" s="744"/>
      <c r="AL84" s="768"/>
      <c r="AM84" s="604">
        <f>IF(ISNUMBER(ACT!K78),ACT!K78*1000000/AM$7,"")</f>
        <v>5482.2535433692601</v>
      </c>
      <c r="AN84" s="605">
        <f>IF(ISNUMBER(ACT!L78),ACT!L78*1000000/AN$7,"")</f>
        <v>5508.509993626647</v>
      </c>
      <c r="AO84" s="606">
        <f>IF(ISNUMBER(NSW!K78),NSW!K78*1000000/AO$7,"")</f>
        <v>93.500553445257665</v>
      </c>
      <c r="AP84" s="606">
        <f>IF(ISNUMBER(NSW!L78),NSW!L78*1000000/AP$7,"")</f>
        <v>96.289848253146687</v>
      </c>
      <c r="AQ84" s="604" t="str">
        <f>IF(ISNUMBER(NT!K78),NT!K78*1000000/AQ$7,"")</f>
        <v/>
      </c>
      <c r="AR84" s="605">
        <f>IF(ISNUMBER(NT!L78),NT!L78*1000000/AR$7,"")</f>
        <v>0</v>
      </c>
      <c r="AS84" s="604" t="str">
        <f>IF(ISNUMBER(Qld!K78),Qld!K78*1000000/AS$7,"")</f>
        <v/>
      </c>
      <c r="AT84" s="605">
        <f>IF(ISNUMBER(Qld!L78),Qld!L78*1000000/AT$7,"")</f>
        <v>8548.5334262610104</v>
      </c>
      <c r="AU84" s="604" t="str">
        <f>IF(ISNUMBER(SA!K78),SA!K78*1000000/AU$7,"")</f>
        <v/>
      </c>
      <c r="AV84" s="605">
        <f>IF(ISNUMBER(SA!L78),SA!L78*1000000/AV$7,"")</f>
        <v>0</v>
      </c>
      <c r="AW84" s="606" t="str">
        <f>IF(ISNUMBER(TAS!K78),TAS!K78*1000000/AW$7,"")</f>
        <v/>
      </c>
      <c r="AX84" s="606" t="str">
        <f>IF(ISNUMBER(TAS!L78),TAS!L78*1000000/AX$7,"")</f>
        <v/>
      </c>
      <c r="AY84" s="604" t="str">
        <f>IF(ISNUMBER(Vic!K78),Vic!K78*1000000/AY$7,"")</f>
        <v/>
      </c>
      <c r="AZ84" s="605" t="str">
        <f>IF(ISNUMBER(Vic!L78),Vic!L78*1000000/AZ$7,"")</f>
        <v/>
      </c>
      <c r="BA84" s="606">
        <f>IF(ISNUMBER(WA!L78),WA!L78*1000000/BA$7,"")</f>
        <v>7265.6692914644591</v>
      </c>
      <c r="BB84" s="606">
        <f>IF(ISNUMBER(WA!M78),WA!M78*1000000/BB$7,"")</f>
        <v>7173.8759370000016</v>
      </c>
      <c r="BC84" s="617">
        <f t="shared" si="2"/>
        <v>3796.5147326021979</v>
      </c>
      <c r="BE84" s="604">
        <v>3570.0698920137211</v>
      </c>
      <c r="BF84" s="606"/>
      <c r="BG84" s="606">
        <f>SUM([2]NT!M78:N78)</f>
        <v>0</v>
      </c>
      <c r="BH84" s="606">
        <v>80.97165314302984</v>
      </c>
      <c r="BI84" s="606"/>
      <c r="BJ84" s="606"/>
      <c r="BK84" s="606"/>
      <c r="BL84" s="605">
        <v>14435.368587712332</v>
      </c>
    </row>
    <row r="85" spans="2:64">
      <c r="B85" s="904"/>
      <c r="C85" s="874"/>
      <c r="D85" s="602" t="s">
        <v>172</v>
      </c>
      <c r="E85" s="620" t="s">
        <v>135</v>
      </c>
      <c r="F85" s="774">
        <f>IF(ISNUMBER(ACT!K79),ACT!K79,"")</f>
        <v>0</v>
      </c>
      <c r="G85" s="770" t="s">
        <v>812</v>
      </c>
      <c r="H85" s="769">
        <f>IF(ISNUMBER(ACT!L79),ACT!L79,"")</f>
        <v>0</v>
      </c>
      <c r="I85" s="771" t="s">
        <v>812</v>
      </c>
      <c r="J85" s="769">
        <f>IF(ISNUMBER(NSW!K79),NSW!K79,"")</f>
        <v>0</v>
      </c>
      <c r="K85" s="770" t="s">
        <v>812</v>
      </c>
      <c r="L85" s="769">
        <f>IF(ISNUMBER(NSW!L79),NSW!L79,"")</f>
        <v>0</v>
      </c>
      <c r="M85" s="771" t="s">
        <v>812</v>
      </c>
      <c r="N85" s="774" t="str">
        <f>IF(ISNUMBER(NT!K79),NT!K79,"")</f>
        <v/>
      </c>
      <c r="O85" s="770" t="s">
        <v>812</v>
      </c>
      <c r="P85" s="769">
        <f>IF(ISNUMBER(NT!L79),NT!L79,"")</f>
        <v>0</v>
      </c>
      <c r="Q85" s="771" t="s">
        <v>812</v>
      </c>
      <c r="R85" s="774" t="str">
        <f>IF(ISNUMBER(Qld!K79),Qld!K79,"")</f>
        <v/>
      </c>
      <c r="S85" s="770" t="s">
        <v>812</v>
      </c>
      <c r="T85" s="769">
        <f>IF(ISNUMBER(Qld!L79),Qld!L79,"")</f>
        <v>2290</v>
      </c>
      <c r="U85" s="771" t="s">
        <v>812</v>
      </c>
      <c r="V85" s="774" t="str">
        <f>IF(ISNUMBER(SA!K79),SA!K79,"")</f>
        <v/>
      </c>
      <c r="W85" s="770" t="s">
        <v>812</v>
      </c>
      <c r="X85" s="769">
        <f>IF(ISNUMBER(SA!L79),SA!L79,"")</f>
        <v>0</v>
      </c>
      <c r="Y85" s="771" t="s">
        <v>812</v>
      </c>
      <c r="Z85" s="774" t="str">
        <f>IF(ISNUMBER(TAS!K79),TAS!K79,"")</f>
        <v/>
      </c>
      <c r="AA85" s="770" t="s">
        <v>812</v>
      </c>
      <c r="AB85" s="769" t="str">
        <f>IF(ISNUMBER(TAS!L79),TAS!L79,"")</f>
        <v/>
      </c>
      <c r="AC85" s="771" t="s">
        <v>812</v>
      </c>
      <c r="AD85" s="774">
        <f>IF(ISNUMBER(Vic!K79),Vic!K79,"")</f>
        <v>0.73199999999999998</v>
      </c>
      <c r="AE85" s="772" t="s">
        <v>812</v>
      </c>
      <c r="AF85" s="769">
        <f>IF(ISNUMBER(Vic!L79),Vic!L79,"")</f>
        <v>5.2399999999999993</v>
      </c>
      <c r="AG85" s="773" t="s">
        <v>812</v>
      </c>
      <c r="AH85" s="774">
        <f>IF(ISNUMBER(WA!L79),WA!L79,"")</f>
        <v>2.1</v>
      </c>
      <c r="AI85" s="770" t="s">
        <v>812</v>
      </c>
      <c r="AJ85" s="769">
        <f>IF(ISNUMBER(WA!M79),WA!M79,"")</f>
        <v>0.57499999999999996</v>
      </c>
      <c r="AK85" s="771" t="s">
        <v>812</v>
      </c>
      <c r="AL85" s="768"/>
      <c r="AM85" s="788">
        <f>IF(ISNUMBER(ACT!K79),ACT!K79*1000000/AM$7,"")</f>
        <v>0</v>
      </c>
      <c r="AN85" s="790">
        <f>IF(ISNUMBER(ACT!L79),ACT!L79*1000000/AN$7,"")</f>
        <v>0</v>
      </c>
      <c r="AO85" s="777">
        <f>IF(ISNUMBER(NSW!K79),NSW!K79*1000000/AO$7,"")</f>
        <v>0</v>
      </c>
      <c r="AP85" s="777">
        <f>IF(ISNUMBER(NSW!L79),NSW!L79*1000000/AP$7,"")</f>
        <v>0</v>
      </c>
      <c r="AQ85" s="788" t="str">
        <f>IF(ISNUMBER(NT!K79),NT!K79*1000000/AQ$7,"")</f>
        <v/>
      </c>
      <c r="AR85" s="790">
        <f>IF(ISNUMBER(NT!L79),NT!L79*1000000/AR$7,"")</f>
        <v>0</v>
      </c>
      <c r="AS85" s="788" t="str">
        <f>IF(ISNUMBER(Qld!K79),Qld!K79*1000000/AS$7,"")</f>
        <v/>
      </c>
      <c r="AT85" s="790">
        <f>IF(ISNUMBER(Qld!L79),Qld!L79*1000000/AT$7,"")</f>
        <v>489.88117279691988</v>
      </c>
      <c r="AU85" s="788" t="str">
        <f>IF(ISNUMBER(SA!K79),SA!K79*1000000/AU$7,"")</f>
        <v/>
      </c>
      <c r="AV85" s="790">
        <f>IF(ISNUMBER(SA!L79),SA!L79*1000000/AV$7,"")</f>
        <v>0</v>
      </c>
      <c r="AW85" s="777" t="str">
        <f>IF(ISNUMBER(TAS!K79),TAS!K79*1000000/AW$7,"")</f>
        <v/>
      </c>
      <c r="AX85" s="777" t="str">
        <f>IF(ISNUMBER(TAS!L79),TAS!L79*1000000/AX$7,"")</f>
        <v/>
      </c>
      <c r="AY85" s="788">
        <f>IF(ISNUMBER(Vic!K79),Vic!K79*1000000/AY$7,"")</f>
        <v>0.12809051169534616</v>
      </c>
      <c r="AZ85" s="790">
        <f>IF(ISNUMBER(Vic!L79),Vic!L79*1000000/AZ$7,"")</f>
        <v>0.90843842209100323</v>
      </c>
      <c r="BA85" s="777">
        <f>IF(ISNUMBER(WA!L79),WA!L79*1000000/BA$7,"")</f>
        <v>0.83918934309457061</v>
      </c>
      <c r="BB85" s="777">
        <f>IF(ISNUMBER(WA!M79),WA!M79*1000000/BB$7,"")</f>
        <v>0.22664984333568655</v>
      </c>
      <c r="BC85" s="787">
        <f t="shared" si="2"/>
        <v>44.725776447012407</v>
      </c>
      <c r="BE85" s="788">
        <v>0</v>
      </c>
      <c r="BF85" s="777">
        <v>25.955885697771809</v>
      </c>
      <c r="BG85" s="777">
        <f>SUM([2]NT!M79:N79)</f>
        <v>0</v>
      </c>
      <c r="BH85" s="777">
        <v>8756.3183393484051</v>
      </c>
      <c r="BI85" s="777">
        <v>3.0126852123551425E-2</v>
      </c>
      <c r="BJ85" s="777"/>
      <c r="BK85" s="777">
        <v>1.9587329564364122</v>
      </c>
      <c r="BL85" s="790">
        <v>4.0692124202129178E-2</v>
      </c>
    </row>
    <row r="86" spans="2:64">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77"/>
      <c r="AJ86" s="156"/>
      <c r="AK86" s="77"/>
    </row>
  </sheetData>
  <mergeCells count="55">
    <mergeCell ref="AJ10:AK10"/>
    <mergeCell ref="AM8:AN8"/>
    <mergeCell ref="AO8:AP8"/>
    <mergeCell ref="AH8:AK8"/>
    <mergeCell ref="F10:G10"/>
    <mergeCell ref="H10:I10"/>
    <mergeCell ref="J10:K10"/>
    <mergeCell ref="L10:M10"/>
    <mergeCell ref="N10:O10"/>
    <mergeCell ref="P10:Q10"/>
    <mergeCell ref="R10:S10"/>
    <mergeCell ref="T10:U10"/>
    <mergeCell ref="V10:W10"/>
    <mergeCell ref="X10:Y10"/>
    <mergeCell ref="Z10:AA10"/>
    <mergeCell ref="AB10:AC10"/>
    <mergeCell ref="AH10:AI10"/>
    <mergeCell ref="B82:B85"/>
    <mergeCell ref="B53:B55"/>
    <mergeCell ref="B56:B59"/>
    <mergeCell ref="B60:B69"/>
    <mergeCell ref="B70:B78"/>
    <mergeCell ref="B79:B81"/>
    <mergeCell ref="B14:B16"/>
    <mergeCell ref="B19:B42"/>
    <mergeCell ref="B44:B45"/>
    <mergeCell ref="B46:B49"/>
    <mergeCell ref="B50:B52"/>
    <mergeCell ref="C44:C45"/>
    <mergeCell ref="C82:C85"/>
    <mergeCell ref="C79:C81"/>
    <mergeCell ref="C70:C78"/>
    <mergeCell ref="C60:C69"/>
    <mergeCell ref="C56:C59"/>
    <mergeCell ref="C53:C55"/>
    <mergeCell ref="BC8:BC10"/>
    <mergeCell ref="AQ8:AR8"/>
    <mergeCell ref="AS8:AT8"/>
    <mergeCell ref="AU8:AV8"/>
    <mergeCell ref="AW8:AX8"/>
    <mergeCell ref="AY8:AZ8"/>
    <mergeCell ref="BA8:BB8"/>
    <mergeCell ref="Z8:AC8"/>
    <mergeCell ref="AD8:AG8"/>
    <mergeCell ref="C50:C52"/>
    <mergeCell ref="C46:C49"/>
    <mergeCell ref="C19:C42"/>
    <mergeCell ref="C14:C16"/>
    <mergeCell ref="F8:I8"/>
    <mergeCell ref="J8:M8"/>
    <mergeCell ref="N8:Q8"/>
    <mergeCell ref="R8:U8"/>
    <mergeCell ref="V8:Y8"/>
    <mergeCell ref="AD10:AE10"/>
    <mergeCell ref="AF10:AG10"/>
  </mergeCells>
  <conditionalFormatting sqref="AM14:BB85">
    <cfRule type="expression" dxfId="51" priority="193">
      <formula>AND(ISNUMBER(AM14),AM14&gt;0,OR(AM14&gt;1000*$BC14,AM14&lt;0.001*$BC14))</formula>
    </cfRule>
  </conditionalFormatting>
  <conditionalFormatting sqref="G14:G85 K14:K85 O14:O85 S14:S85 W14:W85 AA14:AA85 AE14:AE85 AI14:AI85 I14:I85 M14:M85 Q14:Q85 U14:U85 Y14:Y85 AC14:AC85 AG14:AG85 AK14:AK85">
    <cfRule type="cellIs" dxfId="50" priority="114" operator="equal">
      <formula>$F$7</formula>
    </cfRule>
    <cfRule type="cellIs" dxfId="49" priority="115" operator="equal">
      <formula>$F$6</formula>
    </cfRule>
    <cfRule type="cellIs" dxfId="48" priority="145" operator="equal">
      <formula>$F$5</formula>
    </cfRule>
  </conditionalFormatting>
  <conditionalFormatting sqref="F14:F85">
    <cfRule type="expression" dxfId="47" priority="16">
      <formula>AND(ISNUMBER(AM14),AM14&gt;0,OR(AM14&gt;500*$BE14,AM14&lt;0.0005*$BE14))</formula>
    </cfRule>
    <cfRule type="expression" dxfId="46" priority="104">
      <formula>AND(ISNUMBER(F14),F14&gt;0,OR(AM14&gt;1000*$BC14,AM14&lt;0.001*$BC14))</formula>
    </cfRule>
  </conditionalFormatting>
  <conditionalFormatting sqref="BA14:BB85 AH14:AH85 AJ14:AJ85">
    <cfRule type="expression" dxfId="45" priority="990">
      <formula>AND($BA14&gt;0,$BB14&gt;0,MAX($BA14:$BB14)&gt;1000*MIN($BA14:$BB14))</formula>
    </cfRule>
  </conditionalFormatting>
  <conditionalFormatting sqref="AY14:AZ85 AD14:AD85 AF14:AF85">
    <cfRule type="expression" dxfId="44" priority="996">
      <formula>AND($AY14&gt;0,$AZ14&gt;0,MAX($AY14:$AZ14)&gt;1000*MIN($AY14:$AZ14))</formula>
    </cfRule>
  </conditionalFormatting>
  <conditionalFormatting sqref="Z14:Z85 AB14:AB85 AW14:AX85">
    <cfRule type="expression" dxfId="43" priority="1002">
      <formula>AND($AW14&gt;0,$AX14&gt;0,MAX($AW14:$AX14)&gt;1000*MIN($AW14:$AX14))</formula>
    </cfRule>
  </conditionalFormatting>
  <conditionalFormatting sqref="V14:V85 X14:X85 AU14:AV85">
    <cfRule type="expression" dxfId="42" priority="1008">
      <formula>AND($AU14&gt;0,$AV14&gt;0,MAX($AU14:$AV14)&gt;1000*MIN($AU14:$AV14))</formula>
    </cfRule>
  </conditionalFormatting>
  <conditionalFormatting sqref="R14:R85 T14:T85 AS14:AT85">
    <cfRule type="expression" dxfId="41" priority="1014">
      <formula>AND($AS14&gt;0,$AT14&gt;0,MAX($AS14:$AT14)&gt;1000*MIN($AS14:$AT14))</formula>
    </cfRule>
  </conditionalFormatting>
  <conditionalFormatting sqref="N14:N85 P14:P85 AQ14:AR85">
    <cfRule type="expression" dxfId="40" priority="1024">
      <formula>AND($AQ14&gt;0,$AR14&gt;0,MAX($AQ14:$AR14)&gt;1000*MIN($AQ14:$AR14))</formula>
    </cfRule>
  </conditionalFormatting>
  <conditionalFormatting sqref="J14:J85 L14:L85 AO14:AP85">
    <cfRule type="expression" dxfId="39" priority="1030">
      <formula>AND($AO14&gt;0,$AP14&gt;0,MAX($AO14:$AP14)&gt;1000*MIN($AO14:$AP14))</formula>
    </cfRule>
  </conditionalFormatting>
  <conditionalFormatting sqref="AM14:AN85 F14:F85 H14:H85">
    <cfRule type="expression" dxfId="38" priority="1036">
      <formula>AND($AM14&gt;0,$AN14&gt;0,MAX($AM14:$AN14)&gt;1000*MIN($AM14:$AN14))</formula>
    </cfRule>
  </conditionalFormatting>
  <conditionalFormatting sqref="H14:H8514">
    <cfRule type="expression" dxfId="37" priority="32">
      <formula>AND(ISNUMBER(H14),H14&gt;0,OR(AN14&gt;1000*$BC14,AN14&lt;0.001*$BC14))</formula>
    </cfRule>
  </conditionalFormatting>
  <conditionalFormatting sqref="J14:J85">
    <cfRule type="expression" dxfId="36" priority="14">
      <formula>AND(ISNUMBER(AO14),AO14&gt;0,OR(AO14&gt;500*$BF14,AO14&lt;0.0005*$BF14))</formula>
    </cfRule>
    <cfRule type="expression" dxfId="35" priority="31">
      <formula>AND(ISNUMBER(J14),J14&gt;0,OR(AO14&gt;1000*$BC14,AO14&lt;0.001*$BC14))</formula>
    </cfRule>
  </conditionalFormatting>
  <conditionalFormatting sqref="L14:L85">
    <cfRule type="expression" dxfId="34" priority="13">
      <formula>AND(ISNUMBER(AP14),AP14&gt;0,OR(AP14&gt;500*$BF14,AP14&lt;0.0005*$BF14))</formula>
    </cfRule>
    <cfRule type="expression" dxfId="33" priority="30">
      <formula>AND(ISNUMBER(L14),L14&gt;0,OR(AP14&gt;1000*$BC14,AP14&lt;0.001*$BC14))</formula>
    </cfRule>
  </conditionalFormatting>
  <conditionalFormatting sqref="N14:N85">
    <cfRule type="expression" dxfId="32" priority="12">
      <formula>AND(ISNUMBER(AQ14),AQ14&gt;0,OR(AQ14&gt;1000*$BG14,AQ14&lt;0.001*$BG14))</formula>
    </cfRule>
    <cfRule type="expression" dxfId="31" priority="29">
      <formula>AND(ISNUMBER(N14),N14&gt;0,OR(AQ14&gt;1000*$BC14,AQ14&lt;0.001*$BC14))</formula>
    </cfRule>
  </conditionalFormatting>
  <conditionalFormatting sqref="P14:P85">
    <cfRule type="expression" dxfId="30" priority="11">
      <formula>AND(ISNUMBER(AR14),AR14&gt;0,OR(AR14&gt;1000*$BG14,AR14&lt;0.001*$BG14))</formula>
    </cfRule>
    <cfRule type="expression" dxfId="29" priority="28">
      <formula>AND(ISNUMBER(P14),P14&gt;0,OR(AR14&gt;1000*$BC14,AR14&lt;0.001*$BC14))</formula>
    </cfRule>
  </conditionalFormatting>
  <conditionalFormatting sqref="R14:R85">
    <cfRule type="expression" dxfId="28" priority="10">
      <formula>AND(ISNUMBER(AS14),AS14&gt;0,OR(AS14&gt;1000*$BH14,AS14&lt;0.001*$BH14))</formula>
    </cfRule>
    <cfRule type="expression" dxfId="27" priority="27">
      <formula>AND(ISNUMBER(R14),R14&gt;0,OR(AS14&gt;1000*$BC14,AS14&lt;0.001*$BC14))</formula>
    </cfRule>
  </conditionalFormatting>
  <conditionalFormatting sqref="T14:T85">
    <cfRule type="expression" dxfId="26" priority="9">
      <formula>AND(ISNUMBER(AT14),AT14&gt;0,OR(AT14&gt;1000*$BH14,AT14&lt;0.001*$BH14))</formula>
    </cfRule>
    <cfRule type="expression" dxfId="25" priority="26">
      <formula>AND(ISNUMBER(T14),T14&gt;0,OR(AT14&gt;1000*$BC14,AT14&lt;0.001*$BC14))</formula>
    </cfRule>
  </conditionalFormatting>
  <conditionalFormatting sqref="V14:V85">
    <cfRule type="expression" dxfId="24" priority="8">
      <formula>AND(ISNUMBER(AU14),AU14&gt;0,OR(AU14&gt;1000*$BI14,AU14&lt;0.001*$BI14))</formula>
    </cfRule>
    <cfRule type="expression" dxfId="23" priority="25">
      <formula>AND(ISNUMBER(V14),V14&gt;0,OR(AU14&gt;1000*$BC14,AU14&lt;0.001*$BC14))</formula>
    </cfRule>
  </conditionalFormatting>
  <conditionalFormatting sqref="X14:X85">
    <cfRule type="expression" dxfId="22" priority="7">
      <formula>AND(ISNUMBER(AV14),AV14&gt;0,OR(AV14&gt;1000*$BI14,AV14&lt;0.001*$BI14))</formula>
    </cfRule>
    <cfRule type="expression" dxfId="21" priority="24">
      <formula>AND(ISNUMBER(X14),X14&gt;0,OR(AV14&gt;1000*$BC14,AV14&lt;0.001*$BC14))</formula>
    </cfRule>
  </conditionalFormatting>
  <conditionalFormatting sqref="AB14:AB85">
    <cfRule type="expression" dxfId="20" priority="5">
      <formula>AND(ISNUMBER(AX14),AX14&gt;0,OR(AX14&gt;1000*$BJ14,AX14&lt;0.001*$BJ14))</formula>
    </cfRule>
    <cfRule type="expression" dxfId="19" priority="22">
      <formula>AND(ISNUMBER(AB14),AB14&gt;0,OR(AX14&gt;1000*$BC14,AX14&lt;0.001*$BC14))</formula>
    </cfRule>
  </conditionalFormatting>
  <conditionalFormatting sqref="Z14:Z85">
    <cfRule type="expression" dxfId="18" priority="6">
      <formula>AND(ISNUMBER(AW14),AW14&gt;0,OR(AW14&gt;1000*$BJ14,AW14&lt;0.001*$BJ14))</formula>
    </cfRule>
    <cfRule type="expression" dxfId="17" priority="21">
      <formula>AND(ISNUMBER(Z14),Z14&gt;0,OR(AW14&gt;1000*$BC14,AW14&lt;0.001*$BC14))</formula>
    </cfRule>
  </conditionalFormatting>
  <conditionalFormatting sqref="AD14:AD85">
    <cfRule type="expression" dxfId="16" priority="4">
      <formula>AND(ISNUMBER(AY14),AY14&gt;0,OR(AY14&gt;500*$BK14,AY14&lt;0.0005*$BK14))</formula>
    </cfRule>
    <cfRule type="expression" dxfId="15" priority="20">
      <formula>AND(ISNUMBER(AD14),AD14&gt;0,OR(AY14&gt;1000*$BC14,AY14&lt;0.001*$BC14))</formula>
    </cfRule>
  </conditionalFormatting>
  <conditionalFormatting sqref="AF14:AF85">
    <cfRule type="expression" dxfId="14" priority="3">
      <formula>AND(ISNUMBER(AZ14),AZ14&gt;0,OR(AZ14&gt;500*$BK14,AZ14&lt;0.0005*$BK14))</formula>
    </cfRule>
    <cfRule type="expression" dxfId="13" priority="19">
      <formula>AND(ISNUMBER(AF14),AF14&gt;0,OR(AZ14&gt;1000*$BC14,AZ14&lt;0.001*$BC14))</formula>
    </cfRule>
  </conditionalFormatting>
  <conditionalFormatting sqref="AH14:AH85">
    <cfRule type="expression" dxfId="12" priority="2">
      <formula>AND(ISNUMBER(BA14),BA14&gt;0,OR(BA14&gt;500*$BL14,BA14&lt;0.0005*$BL14))</formula>
    </cfRule>
    <cfRule type="expression" dxfId="11" priority="18">
      <formula>AND(ISNUMBER(AH14),AH14&gt;0,OR(BA14&gt;1000*$BC14,BA14&lt;0.001*$BC14))</formula>
    </cfRule>
  </conditionalFormatting>
  <conditionalFormatting sqref="AJ14:AJ85">
    <cfRule type="expression" dxfId="10" priority="1">
      <formula>AND(ISNUMBER(BB14),BB14&gt;0,OR(BB14&gt;500*$BL14,BB14&lt;0.0005*$BL14))</formula>
    </cfRule>
    <cfRule type="expression" dxfId="9" priority="17">
      <formula>AND(ISNUMBER(AJ14),AJ14&gt;0,OR(BB14&gt;1000*$BC14,BB14&lt;0.001*$BC14))</formula>
    </cfRule>
  </conditionalFormatting>
  <conditionalFormatting sqref="AM14:AN85">
    <cfRule type="expression" dxfId="8" priority="1035">
      <formula>AND(ISNUMBER(AM14),AM14&gt;0,OR(AM14&gt;500*$BE14,AM14&lt;0.0005*$BE14))</formula>
    </cfRule>
  </conditionalFormatting>
  <conditionalFormatting sqref="H14:H85">
    <cfRule type="expression" dxfId="7" priority="15">
      <formula>AND(ISNUMBER(AN14),AN14&gt;0,OR(AN14&gt;500*$BE14,AN14&lt;0.0005*$BE14))</formula>
    </cfRule>
  </conditionalFormatting>
  <conditionalFormatting sqref="AO14:AP85">
    <cfRule type="expression" dxfId="6" priority="1029">
      <formula>AND(ISNUMBER(AO14),AO14&gt;0,OR(AO14&gt;500*$BF14,AO14&lt;0.0005*$BF14))</formula>
    </cfRule>
  </conditionalFormatting>
  <conditionalFormatting sqref="AQ14:AR85">
    <cfRule type="expression" dxfId="5" priority="1023">
      <formula>AND(ISNUMBER(AQ14),AQ14&gt;0,OR(AQ14&gt;1000*$BG14,AQ14&lt;0.001*$BG14))</formula>
    </cfRule>
  </conditionalFormatting>
  <conditionalFormatting sqref="AS14:AT85">
    <cfRule type="expression" dxfId="4" priority="1013">
      <formula>AND(ISNUMBER(AS14),AS14&gt;0,OR(AS14&gt;1000*$BH14,AS14&lt;0.001*$BH14))</formula>
    </cfRule>
  </conditionalFormatting>
  <conditionalFormatting sqref="AU14:AV85">
    <cfRule type="expression" dxfId="3" priority="1007">
      <formula>AND(ISNUMBER(AU14),AU14&gt;0,OR(AU14&gt;1000*$BI14,AU14&lt;0.001*$BI14))</formula>
    </cfRule>
  </conditionalFormatting>
  <conditionalFormatting sqref="AW14:AX85">
    <cfRule type="expression" dxfId="2" priority="1001">
      <formula>AND(ISNUMBER(AW14),AW14&gt;0,OR(AW14&gt;1000*$BJ14,AW14&lt;0.001*$BJ14))</formula>
    </cfRule>
  </conditionalFormatting>
  <conditionalFormatting sqref="AY14:AZ85">
    <cfRule type="expression" dxfId="1" priority="995">
      <formula>AND(ISNUMBER(AY14),AY14&gt;0,OR(AY14&gt;500*$BK14,AY14&lt;0.0005*$BK14))</formula>
    </cfRule>
  </conditionalFormatting>
  <conditionalFormatting sqref="BA14:BB85">
    <cfRule type="expression" dxfId="0" priority="989">
      <formula>AND(ISNUMBER(BA14),BA14&gt;0,OR(BA14&gt;500*$BL14,BA14&lt;0.0005*$BL14))</formula>
    </cfRule>
  </conditionalFormatting>
  <dataValidations count="1">
    <dataValidation type="list" allowBlank="1" showInputMessage="1" showErrorMessage="1" sqref="Y14:Y85 G14:G85 AG14:AG85 AI14:AI85 K14:K85 I14:I85 O14:O85 Q14:Q85 M14:M85 S14:S85 U14:U85 W14:W85 AA14:AA85 AC14:AC85 AE14:AE85 AK14:AK85">
      <formula1>$F$4:$F$7</formula1>
    </dataValidation>
  </dataValidation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dimension ref="A1:X80"/>
  <sheetViews>
    <sheetView zoomScale="70" zoomScaleNormal="70" workbookViewId="0">
      <pane ySplit="8" topLeftCell="A9" activePane="bottomLeft" state="frozen"/>
      <selection pane="bottomLeft" activeCell="A9" sqref="A9"/>
    </sheetView>
  </sheetViews>
  <sheetFormatPr defaultColWidth="9.140625" defaultRowHeight="12.75"/>
  <cols>
    <col min="1" max="1" width="4.7109375" style="36" customWidth="1"/>
    <col min="2" max="2" width="12.85546875" style="36" customWidth="1"/>
    <col min="3" max="3" width="18.140625" style="36" customWidth="1"/>
    <col min="4" max="4" width="9.140625" style="113"/>
    <col min="5" max="5" width="91.5703125" style="36" customWidth="1"/>
    <col min="6" max="6" width="15.85546875" style="36" customWidth="1"/>
    <col min="7" max="22" width="10.85546875" style="113" customWidth="1"/>
    <col min="23" max="16384" width="9.140625" style="36"/>
  </cols>
  <sheetData>
    <row r="1" spans="1:24" s="193" customFormat="1" ht="21">
      <c r="A1" s="195" t="s">
        <v>820</v>
      </c>
      <c r="D1" s="668"/>
      <c r="E1" s="153"/>
      <c r="G1" s="675"/>
      <c r="H1" s="675"/>
      <c r="I1" s="675"/>
      <c r="J1" s="675"/>
      <c r="K1" s="675"/>
      <c r="L1" s="675"/>
      <c r="M1" s="675"/>
      <c r="N1" s="675"/>
      <c r="O1" s="675"/>
      <c r="P1" s="675"/>
      <c r="Q1" s="675"/>
      <c r="R1" s="675"/>
      <c r="S1" s="675"/>
      <c r="T1" s="675"/>
      <c r="U1" s="675"/>
      <c r="V1" s="675"/>
    </row>
    <row r="2" spans="1:24" s="27" customFormat="1">
      <c r="A2" s="36"/>
      <c r="B2" s="36"/>
      <c r="C2" s="36"/>
      <c r="D2" s="113"/>
      <c r="E2" s="36"/>
      <c r="G2" s="206"/>
      <c r="H2" s="691">
        <f>'Gap data 2'!B7</f>
        <v>382844</v>
      </c>
      <c r="P2" s="691">
        <f>'Gap data 2'!J7</f>
        <v>0</v>
      </c>
      <c r="Q2" s="206"/>
      <c r="R2" s="113"/>
      <c r="S2" s="206"/>
      <c r="T2" s="113"/>
      <c r="U2" s="206"/>
      <c r="V2" s="113"/>
    </row>
    <row r="3" spans="1:24" s="27" customFormat="1" ht="18.75">
      <c r="A3" s="36"/>
      <c r="B3" s="36"/>
      <c r="C3" s="585"/>
      <c r="D3" s="624"/>
      <c r="F3" s="926" t="s">
        <v>817</v>
      </c>
      <c r="G3" s="914" t="s">
        <v>426</v>
      </c>
      <c r="H3" s="915"/>
      <c r="I3" s="916" t="s">
        <v>425</v>
      </c>
      <c r="J3" s="917"/>
      <c r="K3" s="918" t="s">
        <v>427</v>
      </c>
      <c r="L3" s="919"/>
      <c r="M3" s="920" t="s">
        <v>428</v>
      </c>
      <c r="N3" s="921"/>
      <c r="O3" s="922" t="s">
        <v>429</v>
      </c>
      <c r="P3" s="923"/>
      <c r="Q3" s="924" t="s">
        <v>431</v>
      </c>
      <c r="R3" s="925"/>
      <c r="S3" s="910" t="s">
        <v>432</v>
      </c>
      <c r="T3" s="911"/>
      <c r="U3" s="912" t="s">
        <v>430</v>
      </c>
      <c r="V3" s="913"/>
    </row>
    <row r="4" spans="1:24" s="159" customFormat="1">
      <c r="A4" s="36"/>
      <c r="B4" s="36"/>
      <c r="C4" s="586"/>
      <c r="D4" s="669"/>
      <c r="E4" s="584" t="s">
        <v>821</v>
      </c>
      <c r="F4" s="927"/>
      <c r="G4" s="699">
        <f>'Gap data 2'!B6</f>
        <v>379935</v>
      </c>
      <c r="H4" s="700">
        <f>'Gap data 2'!B7</f>
        <v>382844</v>
      </c>
      <c r="I4" s="699">
        <f>'Gap data 2'!C6</f>
        <v>7382844</v>
      </c>
      <c r="J4" s="700">
        <f>'Gap data 2'!C7</f>
        <v>7438375</v>
      </c>
      <c r="K4" s="699">
        <f>'Gap data 2'!D6</f>
        <v>239481</v>
      </c>
      <c r="L4" s="700">
        <f>'Gap data 2'!D7</f>
        <v>242212</v>
      </c>
      <c r="M4" s="699">
        <f>'Gap data 2'!E6</f>
        <v>4635265</v>
      </c>
      <c r="N4" s="700">
        <f>'Gap data 2'!E7</f>
        <v>4674603</v>
      </c>
      <c r="O4" s="699">
        <f>'Gap data 2'!F6</f>
        <v>1667187</v>
      </c>
      <c r="P4" s="700">
        <f>'Gap data 2'!F7</f>
        <v>1674555</v>
      </c>
      <c r="Q4" s="699">
        <f>'Gap data 2'!G6</f>
        <v>512971</v>
      </c>
      <c r="R4" s="700">
        <f>'Gap data 2'!G7</f>
        <v>513400</v>
      </c>
      <c r="S4" s="699">
        <f>'Gap data 2'!H6</f>
        <v>5714709</v>
      </c>
      <c r="T4" s="700">
        <f>'Gap data 2'!H7</f>
        <v>5768140</v>
      </c>
      <c r="U4" s="699">
        <f>'Gap data 2'!I6</f>
        <v>2502415</v>
      </c>
      <c r="V4" s="700">
        <f>'Gap data 2'!I7</f>
        <v>2536953</v>
      </c>
      <c r="W4" s="655" t="s">
        <v>691</v>
      </c>
      <c r="X4" s="159" t="s">
        <v>814</v>
      </c>
    </row>
    <row r="5" spans="1:24" ht="25.5">
      <c r="B5" s="747" t="s">
        <v>859</v>
      </c>
      <c r="C5" s="43" t="s">
        <v>409</v>
      </c>
      <c r="D5" s="749" t="s">
        <v>860</v>
      </c>
      <c r="E5" s="152" t="s">
        <v>404</v>
      </c>
      <c r="F5" s="587" t="s">
        <v>819</v>
      </c>
      <c r="G5" s="676" t="s">
        <v>680</v>
      </c>
      <c r="H5" s="677" t="s">
        <v>681</v>
      </c>
      <c r="I5" s="676" t="s">
        <v>680</v>
      </c>
      <c r="J5" s="677" t="s">
        <v>681</v>
      </c>
      <c r="K5" s="676" t="s">
        <v>680</v>
      </c>
      <c r="L5" s="677" t="s">
        <v>681</v>
      </c>
      <c r="M5" s="676" t="s">
        <v>680</v>
      </c>
      <c r="N5" s="677" t="s">
        <v>681</v>
      </c>
      <c r="O5" s="676" t="s">
        <v>680</v>
      </c>
      <c r="P5" s="677" t="s">
        <v>681</v>
      </c>
      <c r="Q5" s="676" t="s">
        <v>680</v>
      </c>
      <c r="R5" s="677" t="s">
        <v>681</v>
      </c>
      <c r="S5" s="676" t="s">
        <v>680</v>
      </c>
      <c r="T5" s="677" t="s">
        <v>681</v>
      </c>
      <c r="U5" s="676" t="s">
        <v>680</v>
      </c>
      <c r="V5" s="677" t="s">
        <v>681</v>
      </c>
    </row>
    <row r="6" spans="1:24" ht="5.25" customHeight="1"/>
    <row r="7" spans="1:24" s="213" customFormat="1" ht="15.75">
      <c r="B7" s="213" t="s">
        <v>818</v>
      </c>
      <c r="D7" s="670"/>
      <c r="G7" s="670"/>
      <c r="H7" s="678"/>
      <c r="I7" s="670"/>
      <c r="J7" s="670"/>
      <c r="K7" s="670"/>
      <c r="L7" s="670"/>
      <c r="M7" s="670"/>
      <c r="N7" s="670"/>
      <c r="O7" s="670"/>
      <c r="P7" s="670"/>
      <c r="Q7" s="670"/>
      <c r="R7" s="670"/>
      <c r="S7" s="670"/>
      <c r="T7" s="670"/>
      <c r="U7" s="670"/>
      <c r="V7" s="670"/>
    </row>
    <row r="8" spans="1:24" ht="6.75" customHeight="1">
      <c r="A8" s="576"/>
    </row>
    <row r="9" spans="1:24">
      <c r="B9" s="902" t="s">
        <v>3</v>
      </c>
      <c r="C9" s="872" t="s">
        <v>137</v>
      </c>
      <c r="D9" s="671" t="s">
        <v>4</v>
      </c>
      <c r="E9" s="598" t="s">
        <v>79</v>
      </c>
      <c r="F9" s="581">
        <f t="shared" ref="F9:F40" si="0">IFERROR(SUMPRODUCT(G9:V9,$G$4:$V$4)/SUMPRODUCT(--ISNUMBER(G9:V9),$G$4:$V$4),"")</f>
        <v>186.65609690279561</v>
      </c>
      <c r="G9" s="679">
        <f>IF(AND(ISNUMBER(Validation!AM14),Validation!G14=Approved),Validation!AM14,"")</f>
        <v>0</v>
      </c>
      <c r="H9" s="680">
        <f>IF(AND(ISNUMBER(Validation!AN14),Validation!I14=Approved),Validation!AN14,"")</f>
        <v>0</v>
      </c>
      <c r="I9" s="681">
        <f>IF(AND(ISNUMBER(Validation!AO14),Validation!K14=Approved),Validation!AO14,"")</f>
        <v>14.533152806696174</v>
      </c>
      <c r="J9" s="680">
        <f>IF(AND(ISNUMBER(Validation!AP14),Validation!M14=Approved),Validation!AP14,"")</f>
        <v>0.42482397028920965</v>
      </c>
      <c r="K9" s="681" t="str">
        <f>IF(AND(ISNUMBER(Validation!AQ14),Validation!O14=Approved),Validation!AQ14,"")</f>
        <v/>
      </c>
      <c r="L9" s="680">
        <f>IF(AND(ISNUMBER(Validation!AR14),Validation!Q14=Approved),Validation!AR14,"")</f>
        <v>0</v>
      </c>
      <c r="M9" s="681" t="str">
        <f>IF(AND(ISNUMBER(Validation!AS14),Validation!S14=Approved),Validation!AS14,"")</f>
        <v/>
      </c>
      <c r="N9" s="680">
        <f>IF(AND(ISNUMBER(Validation!AT14),Validation!U14=Approved),Validation!AT14,"")</f>
        <v>955.37524790875284</v>
      </c>
      <c r="O9" s="681" t="str">
        <f>IF(AND(ISNUMBER(Validation!AU14),Validation!W14=Approved),Validation!AU14,"")</f>
        <v/>
      </c>
      <c r="P9" s="680">
        <f>IF(AND(ISNUMBER(Validation!AV14),Validation!Y14=Approved),Validation!AV14,"")</f>
        <v>52.204914141368903</v>
      </c>
      <c r="Q9" s="681" t="str">
        <f>IF(AND(ISNUMBER(Validation!AW14),Validation!AA14=Approved),Validation!AW14,"")</f>
        <v/>
      </c>
      <c r="R9" s="681" t="str">
        <f>IF(AND(ISNUMBER(Validation!AX14),Validation!AC14=Approved),Validation!AX14,"")</f>
        <v/>
      </c>
      <c r="S9" s="679" t="str">
        <f>IF(AND(ISNUMBER(Validation!AY14),Validation!AE14=Approved),Validation!AY14,"")</f>
        <v/>
      </c>
      <c r="T9" s="680" t="str">
        <f>IF(AND(ISNUMBER(Validation!AZ14),Validation!AG14=Approved),Validation!AZ14,"")</f>
        <v/>
      </c>
      <c r="U9" s="679">
        <f>IF(AND(ISNUMBER(Validation!BA14),Validation!AI14=Approved),Validation!BA14,"")</f>
        <v>115.17833772575695</v>
      </c>
      <c r="V9" s="680">
        <f>IF(AND(ISNUMBER(Validation!BB14),Validation!AK14=Approved),Validation!BB14,"")</f>
        <v>50.334554877445505</v>
      </c>
    </row>
    <row r="10" spans="1:24">
      <c r="B10" s="903"/>
      <c r="C10" s="873"/>
      <c r="D10" s="672" t="s">
        <v>138</v>
      </c>
      <c r="E10" s="603" t="s">
        <v>139</v>
      </c>
      <c r="F10" s="579">
        <f t="shared" si="0"/>
        <v>0.48326219541501336</v>
      </c>
      <c r="G10" s="682">
        <f>IF(AND(ISNUMBER(Validation!AM15),Validation!G15=Approved),Validation!AM15,"")</f>
        <v>0</v>
      </c>
      <c r="H10" s="683">
        <f>IF(AND(ISNUMBER(Validation!AN15),Validation!I15=Approved),Validation!AN15,"")</f>
        <v>0</v>
      </c>
      <c r="I10" s="684">
        <f>IF(AND(ISNUMBER(Validation!AO15),Validation!K15=Approved),Validation!AO15,"")</f>
        <v>0</v>
      </c>
      <c r="J10" s="683">
        <f>IF(AND(ISNUMBER(Validation!AP15),Validation!M15=Approved),Validation!AP15,"")</f>
        <v>0</v>
      </c>
      <c r="K10" s="684" t="str">
        <f>IF(AND(ISNUMBER(Validation!AQ15),Validation!O15=Approved),Validation!AQ15,"")</f>
        <v/>
      </c>
      <c r="L10" s="683">
        <f>IF(AND(ISNUMBER(Validation!AR15),Validation!Q15=Approved),Validation!AR15,"")</f>
        <v>0</v>
      </c>
      <c r="M10" s="684" t="str">
        <f>IF(AND(ISNUMBER(Validation!AS15),Validation!S15=Approved),Validation!AS15,"")</f>
        <v/>
      </c>
      <c r="N10" s="683">
        <f>IF(AND(ISNUMBER(Validation!AT15),Validation!U15=Approved),Validation!AT15,"")</f>
        <v>2.7809848237379731</v>
      </c>
      <c r="O10" s="684" t="str">
        <f>IF(AND(ISNUMBER(Validation!AU15),Validation!W15=Approved),Validation!AU15,"")</f>
        <v/>
      </c>
      <c r="P10" s="683">
        <f>IF(AND(ISNUMBER(Validation!AV15),Validation!Y15=Approved),Validation!AV15,"")</f>
        <v>9.0682639268342941E-2</v>
      </c>
      <c r="Q10" s="684" t="str">
        <f>IF(AND(ISNUMBER(Validation!AW15),Validation!AA15=Approved),Validation!AW15,"")</f>
        <v/>
      </c>
      <c r="R10" s="683" t="str">
        <f>IF(AND(ISNUMBER(Validation!AX15),Validation!AC15=Approved),Validation!AX15,"")</f>
        <v/>
      </c>
      <c r="S10" s="684" t="str">
        <f>IF(AND(ISNUMBER(Validation!AY15),Validation!AE15=Approved),Validation!AY15,"")</f>
        <v/>
      </c>
      <c r="T10" s="683" t="str">
        <f>IF(AND(ISNUMBER(Validation!AZ15),Validation!AG15=Approved),Validation!AZ15,"")</f>
        <v/>
      </c>
      <c r="U10" s="684">
        <f>IF(AND(ISNUMBER(Validation!BA15),Validation!AI15=Approved),Validation!BA15,"")</f>
        <v>0</v>
      </c>
      <c r="V10" s="683">
        <f>IF(AND(ISNUMBER(Validation!BB15),Validation!AK15=Approved),Validation!BB15,"")</f>
        <v>0</v>
      </c>
    </row>
    <row r="11" spans="1:24">
      <c r="B11" s="904"/>
      <c r="C11" s="874"/>
      <c r="D11" s="672" t="s">
        <v>81</v>
      </c>
      <c r="E11" s="603" t="s">
        <v>80</v>
      </c>
      <c r="F11" s="579">
        <f t="shared" si="0"/>
        <v>2.7822278832128671</v>
      </c>
      <c r="G11" s="684">
        <f>IF(AND(ISNUMBER(Validation!AM16),Validation!G16=Approved),Validation!AM16,"")</f>
        <v>0</v>
      </c>
      <c r="H11" s="683">
        <f>IF(AND(ISNUMBER(Validation!AN16),Validation!I16=Approved),Validation!AN16,"")</f>
        <v>0</v>
      </c>
      <c r="I11" s="684">
        <f>IF(AND(ISNUMBER(Validation!AO16),Validation!K16=Approved),Validation!AO16,"")</f>
        <v>0.12251376298889696</v>
      </c>
      <c r="J11" s="683">
        <f>IF(AND(ISNUMBER(Validation!AP16),Validation!M16=Approved),Validation!AP16,"")</f>
        <v>1.5460366007360477E-2</v>
      </c>
      <c r="K11" s="684" t="str">
        <f>IF(AND(ISNUMBER(Validation!AQ16),Validation!O16=Approved),Validation!AQ16,"")</f>
        <v/>
      </c>
      <c r="L11" s="683">
        <f>IF(AND(ISNUMBER(Validation!AR16),Validation!Q16=Approved),Validation!AR16,"")</f>
        <v>0</v>
      </c>
      <c r="M11" s="684" t="str">
        <f>IF(AND(ISNUMBER(Validation!AS16),Validation!S16=Approved),Validation!AS16,"")</f>
        <v/>
      </c>
      <c r="N11" s="683">
        <f>IF(AND(ISNUMBER(Validation!AT16),Validation!U16=Approved),Validation!AT16,"")</f>
        <v>3.2088286427745842</v>
      </c>
      <c r="O11" s="684" t="str">
        <f>IF(AND(ISNUMBER(Validation!AU16),Validation!W16=Approved),Validation!AU16,"")</f>
        <v/>
      </c>
      <c r="P11" s="683">
        <f>IF(AND(ISNUMBER(Validation!AV16),Validation!Y16=Approved),Validation!AV16,"")</f>
        <v>7.9782389948374348</v>
      </c>
      <c r="Q11" s="684" t="str">
        <f>IF(AND(ISNUMBER(Validation!AW16),Validation!AA16=Approved),Validation!AW16,"")</f>
        <v/>
      </c>
      <c r="R11" s="683" t="str">
        <f>IF(AND(ISNUMBER(Validation!AX16),Validation!AC16=Approved),Validation!AX16,"")</f>
        <v/>
      </c>
      <c r="S11" s="684">
        <f>IF(AND(ISNUMBER(Validation!AY16),Validation!AE16=Approved),Validation!AY16,"")</f>
        <v>4.0289015591170072</v>
      </c>
      <c r="T11" s="683">
        <f>IF(AND(ISNUMBER(Validation!AZ16),Validation!AG16=Approved),Validation!AZ16,"")</f>
        <v>0.53188722881206074</v>
      </c>
      <c r="U11" s="684">
        <f>IF(AND(ISNUMBER(Validation!BA16),Validation!AI16=Approved),Validation!BA16,"")</f>
        <v>11.713484773708597</v>
      </c>
      <c r="V11" s="683">
        <f>IF(AND(ISNUMBER(Validation!BB16),Validation!AK16=Approved),Validation!BB16,"")</f>
        <v>9.0194812438385732</v>
      </c>
    </row>
    <row r="12" spans="1:24">
      <c r="B12" s="607" t="s">
        <v>5</v>
      </c>
      <c r="C12" s="608" t="s">
        <v>6</v>
      </c>
      <c r="D12" s="673" t="s">
        <v>7</v>
      </c>
      <c r="E12" s="610" t="s">
        <v>82</v>
      </c>
      <c r="F12" s="580">
        <f t="shared" si="0"/>
        <v>1031.9568317859701</v>
      </c>
      <c r="G12" s="685">
        <f>IF(AND(ISNUMBER(Validation!AM17),Validation!G17=Approved),Validation!AM17,"")</f>
        <v>0.3105794412202087</v>
      </c>
      <c r="H12" s="686">
        <f>IF(AND(ISNUMBER(Validation!AN17),Validation!I17=Approved),Validation!AN17,"")</f>
        <v>0.65039546133673243</v>
      </c>
      <c r="I12" s="685">
        <f>IF(AND(ISNUMBER(Validation!AO17),Validation!K17=Approved),Validation!AO17,"")</f>
        <v>809.84186121229277</v>
      </c>
      <c r="J12" s="686">
        <f>IF(AND(ISNUMBER(Validation!AP17),Validation!M17=Approved),Validation!AP17,"")</f>
        <v>1148.5038082914618</v>
      </c>
      <c r="K12" s="685" t="str">
        <f>IF(AND(ISNUMBER(Validation!AQ17),Validation!O17=Approved),Validation!AQ17,"")</f>
        <v/>
      </c>
      <c r="L12" s="686">
        <f>IF(AND(ISNUMBER(Validation!AR17),Validation!Q17=Approved),Validation!AR17,"")</f>
        <v>134.46613217838114</v>
      </c>
      <c r="M12" s="685" t="str">
        <f>IF(AND(ISNUMBER(Validation!AS17),Validation!S17=Approved),Validation!AS17,"")</f>
        <v/>
      </c>
      <c r="N12" s="686">
        <f>IF(AND(ISNUMBER(Validation!AT17),Validation!U17=Approved),Validation!AT17,"")</f>
        <v>3014.5875489319628</v>
      </c>
      <c r="O12" s="685" t="str">
        <f>IF(AND(ISNUMBER(Validation!AU17),Validation!W17=Approved),Validation!AU17,"")</f>
        <v/>
      </c>
      <c r="P12" s="686">
        <f>IF(AND(ISNUMBER(Validation!AV17),Validation!Y17=Approved),Validation!AV17,"")</f>
        <v>428.98561110265115</v>
      </c>
      <c r="Q12" s="685" t="str">
        <f>IF(AND(ISNUMBER(Validation!AW17),Validation!AA17=Approved),Validation!AW17,"")</f>
        <v/>
      </c>
      <c r="R12" s="686">
        <f>IF(AND(ISNUMBER(Validation!AX17),Validation!AC17=Approved),Validation!AX17,"")</f>
        <v>61.40631086871835</v>
      </c>
      <c r="S12" s="685">
        <f>IF(AND(ISNUMBER(Validation!AY17),Validation!AE17=Approved),Validation!AY17,"")</f>
        <v>530.19165105344825</v>
      </c>
      <c r="T12" s="686">
        <f>IF(AND(ISNUMBER(Validation!AZ17),Validation!AG17=Approved),Validation!AZ17,"")</f>
        <v>718.28648403124737</v>
      </c>
      <c r="U12" s="685">
        <f>IF(AND(ISNUMBER(Validation!BA17),Validation!AI17=Approved),Validation!BA17,"")</f>
        <v>804.83456980556764</v>
      </c>
      <c r="V12" s="686">
        <f>IF(AND(ISNUMBER(Validation!BB17),Validation!AK17=Approved),Validation!BB17,"")</f>
        <v>741.11948467314846</v>
      </c>
    </row>
    <row r="13" spans="1:24">
      <c r="B13" s="607" t="s">
        <v>8</v>
      </c>
      <c r="C13" s="613" t="s">
        <v>140</v>
      </c>
      <c r="D13" s="672" t="s">
        <v>9</v>
      </c>
      <c r="E13" s="603" t="s">
        <v>83</v>
      </c>
      <c r="F13" s="579">
        <f t="shared" si="0"/>
        <v>8951.8423866672838</v>
      </c>
      <c r="G13" s="684">
        <f>IF(AND(ISNUMBER(Validation!AM18),Validation!G18=Approved),Validation!AM18,"")</f>
        <v>575.54581704765292</v>
      </c>
      <c r="H13" s="683">
        <f>IF(AND(ISNUMBER(Validation!AN18),Validation!I18=Approved),Validation!AN18,"")</f>
        <v>603.19607986542826</v>
      </c>
      <c r="I13" s="684">
        <f>IF(AND(ISNUMBER(Validation!AO18),Validation!K18=Approved),Validation!AO18,"")</f>
        <v>204.02609075852081</v>
      </c>
      <c r="J13" s="683">
        <f>IF(AND(ISNUMBER(Validation!AP18),Validation!M18=Approved),Validation!AP18,"")</f>
        <v>357.38078814257159</v>
      </c>
      <c r="K13" s="684" t="str">
        <f>IF(AND(ISNUMBER(Validation!AQ18),Validation!O18=Approved),Validation!AQ18,"")</f>
        <v/>
      </c>
      <c r="L13" s="683">
        <f>IF(AND(ISNUMBER(Validation!AR18),Validation!Q18=Approved),Validation!AR18,"")</f>
        <v>1250.8408583196588</v>
      </c>
      <c r="M13" s="684" t="str">
        <f>IF(AND(ISNUMBER(Validation!AS18),Validation!S18=Approved),Validation!AS18,"")</f>
        <v/>
      </c>
      <c r="N13" s="683">
        <f>IF(AND(ISNUMBER(Validation!AT18),Validation!U18=Approved),Validation!AT18,"")</f>
        <v>47830.585827288436</v>
      </c>
      <c r="O13" s="684" t="str">
        <f>IF(AND(ISNUMBER(Validation!AU18),Validation!W18=Approved),Validation!AU18,"")</f>
        <v/>
      </c>
      <c r="P13" s="683">
        <f>IF(AND(ISNUMBER(Validation!AV18),Validation!Y18=Approved),Validation!AV18,"")</f>
        <v>16526.289073813638</v>
      </c>
      <c r="Q13" s="684" t="str">
        <f>IF(AND(ISNUMBER(Validation!AW18),Validation!AA18=Approved),Validation!AW18,"")</f>
        <v/>
      </c>
      <c r="R13" s="683">
        <f>IF(AND(ISNUMBER(Validation!AX18),Validation!AC18=Approved),Validation!AX18,"")</f>
        <v>1.168679392286716</v>
      </c>
      <c r="S13" s="684">
        <f>IF(AND(ISNUMBER(Validation!AY18),Validation!AE18=Approved),Validation!AY18,"")</f>
        <v>524.44752654947104</v>
      </c>
      <c r="T13" s="683">
        <f>IF(AND(ISNUMBER(Validation!AZ18),Validation!AG18=Approved),Validation!AZ18,"")</f>
        <v>606.72071066236254</v>
      </c>
      <c r="U13" s="684">
        <f>IF(AND(ISNUMBER(Validation!BA18),Validation!AI18=Approved),Validation!BA18,"")</f>
        <v>16824.78735941077</v>
      </c>
      <c r="V13" s="683">
        <f>IF(AND(ISNUMBER(Validation!BB18),Validation!AK18=Approved),Validation!BB18,"")</f>
        <v>18222.753239811642</v>
      </c>
    </row>
    <row r="14" spans="1:24">
      <c r="B14" s="902" t="s">
        <v>10</v>
      </c>
      <c r="C14" s="872" t="s">
        <v>11</v>
      </c>
      <c r="D14" s="671" t="s">
        <v>12</v>
      </c>
      <c r="E14" s="598" t="s">
        <v>84</v>
      </c>
      <c r="F14" s="581">
        <f t="shared" si="0"/>
        <v>9.6472285039554624</v>
      </c>
      <c r="G14" s="681">
        <f>IF(AND(ISNUMBER(Validation!AM19),Validation!G19=Approved),Validation!AM19,"")</f>
        <v>0</v>
      </c>
      <c r="H14" s="680">
        <f>IF(AND(ISNUMBER(Validation!AN19),Validation!I19=Approved),Validation!AN19,"")</f>
        <v>0</v>
      </c>
      <c r="I14" s="681">
        <f>IF(AND(ISNUMBER(Validation!AO19),Validation!K19=Approved),Validation!AO19,"")</f>
        <v>0</v>
      </c>
      <c r="J14" s="680">
        <f>IF(AND(ISNUMBER(Validation!AP19),Validation!M19=Approved),Validation!AP19,"")</f>
        <v>0</v>
      </c>
      <c r="K14" s="681" t="str">
        <f>IF(AND(ISNUMBER(Validation!AQ19),Validation!O19=Approved),Validation!AQ19,"")</f>
        <v/>
      </c>
      <c r="L14" s="680">
        <f>IF(AND(ISNUMBER(Validation!AR19),Validation!Q19=Approved),Validation!AR19,"")</f>
        <v>274.75288196389693</v>
      </c>
      <c r="M14" s="681" t="str">
        <f>IF(AND(ISNUMBER(Validation!AS19),Validation!S19=Approved),Validation!AS19,"")</f>
        <v/>
      </c>
      <c r="N14" s="680">
        <f>IF(AND(ISNUMBER(Validation!AT19),Validation!U19=Approved),Validation!AT19,"")</f>
        <v>51.983024012948263</v>
      </c>
      <c r="O14" s="681" t="str">
        <f>IF(AND(ISNUMBER(Validation!AU19),Validation!W19=Approved),Validation!AU19,"")</f>
        <v/>
      </c>
      <c r="P14" s="680">
        <f>IF(AND(ISNUMBER(Validation!AV19),Validation!Y19=Approved),Validation!AV19,"")</f>
        <v>28.807653376568695</v>
      </c>
      <c r="Q14" s="681" t="str">
        <f>IF(AND(ISNUMBER(Validation!AW19),Validation!AA19=Approved),Validation!AW19,"")</f>
        <v/>
      </c>
      <c r="R14" s="680" t="str">
        <f>IF(AND(ISNUMBER(Validation!AX19),Validation!AC19=Approved),Validation!AX19,"")</f>
        <v/>
      </c>
      <c r="S14" s="681">
        <f>IF(AND(ISNUMBER(Validation!AY19),Validation!AE19=Approved),Validation!AY19,"")</f>
        <v>1.8296644676045626</v>
      </c>
      <c r="T14" s="680">
        <f>IF(AND(ISNUMBER(Validation!AZ19),Validation!AG19=Approved),Validation!AZ19,"")</f>
        <v>0.52009833325820798</v>
      </c>
      <c r="U14" s="681">
        <f>IF(AND(ISNUMBER(Validation!BA19),Validation!AI19=Approved),Validation!BA19,"")</f>
        <v>0.30370661940565413</v>
      </c>
      <c r="V14" s="680">
        <f>IF(AND(ISNUMBER(Validation!BB19),Validation!AK19=Approved),Validation!BB19,"")</f>
        <v>0.52030920557061955</v>
      </c>
    </row>
    <row r="15" spans="1:24">
      <c r="B15" s="903"/>
      <c r="C15" s="873"/>
      <c r="D15" s="672" t="s">
        <v>13</v>
      </c>
      <c r="E15" s="603" t="s">
        <v>85</v>
      </c>
      <c r="F15" s="579">
        <f t="shared" si="0"/>
        <v>335.80004302365774</v>
      </c>
      <c r="G15" s="684">
        <f>IF(AND(ISNUMBER(Validation!AM20),Validation!G20=Approved),Validation!AM20,"")</f>
        <v>0</v>
      </c>
      <c r="H15" s="683">
        <f>IF(AND(ISNUMBER(Validation!AN20),Validation!I20=Approved),Validation!AN20,"")</f>
        <v>0</v>
      </c>
      <c r="I15" s="684">
        <f>IF(AND(ISNUMBER(Validation!AO20),Validation!K20=Approved),Validation!AO20,"")</f>
        <v>174.2549280466985</v>
      </c>
      <c r="J15" s="683">
        <f>IF(AND(ISNUMBER(Validation!AP20),Validation!M20=Approved),Validation!AP20,"")</f>
        <v>657.08619154049063</v>
      </c>
      <c r="K15" s="684" t="str">
        <f>IF(AND(ISNUMBER(Validation!AQ20),Validation!O20=Approved),Validation!AQ20,"")</f>
        <v/>
      </c>
      <c r="L15" s="683">
        <f>IF(AND(ISNUMBER(Validation!AR20),Validation!Q20=Approved),Validation!AR20,"")</f>
        <v>0</v>
      </c>
      <c r="M15" s="684" t="str">
        <f>IF(AND(ISNUMBER(Validation!AS20),Validation!S20=Approved),Validation!AS20,"")</f>
        <v/>
      </c>
      <c r="N15" s="683">
        <f>IF(AND(ISNUMBER(Validation!AT20),Validation!U20=Approved),Validation!AT20,"")</f>
        <v>211.35484660408596</v>
      </c>
      <c r="O15" s="684" t="str">
        <f>IF(AND(ISNUMBER(Validation!AU20),Validation!W20=Approved),Validation!AU20,"")</f>
        <v/>
      </c>
      <c r="P15" s="683">
        <f>IF(AND(ISNUMBER(Validation!AV20),Validation!Y20=Approved),Validation!AV20,"")</f>
        <v>4.3474236438934524</v>
      </c>
      <c r="Q15" s="684" t="str">
        <f>IF(AND(ISNUMBER(Validation!AW20),Validation!AA20=Approved),Validation!AW20,"")</f>
        <v/>
      </c>
      <c r="R15" s="683">
        <f>IF(AND(ISNUMBER(Validation!AX20),Validation!AC20=Approved),Validation!AX20,"")</f>
        <v>186.98870276587456</v>
      </c>
      <c r="S15" s="684">
        <f>IF(AND(ISNUMBER(Validation!AY20),Validation!AE20=Approved),Validation!AY20,"")</f>
        <v>448.61426889803147</v>
      </c>
      <c r="T15" s="683">
        <f>IF(AND(ISNUMBER(Validation!AZ20),Validation!AG20=Approved),Validation!AZ20,"")</f>
        <v>576.94854840555183</v>
      </c>
      <c r="U15" s="684">
        <f>IF(AND(ISNUMBER(Validation!BA20),Validation!AI20=Approved),Validation!BA20,"")</f>
        <v>0</v>
      </c>
      <c r="V15" s="683">
        <f>IF(AND(ISNUMBER(Validation!BB20),Validation!AK20=Approved),Validation!BB20,"")</f>
        <v>3.9417364058380269</v>
      </c>
    </row>
    <row r="16" spans="1:24">
      <c r="B16" s="903"/>
      <c r="C16" s="873"/>
      <c r="D16" s="672" t="s">
        <v>14</v>
      </c>
      <c r="E16" s="603" t="s">
        <v>86</v>
      </c>
      <c r="F16" s="579">
        <f t="shared" si="0"/>
        <v>55.887971485711461</v>
      </c>
      <c r="G16" s="684">
        <f>IF(AND(ISNUMBER(Validation!AM21),Validation!G21=Approved),Validation!AM21,"")</f>
        <v>18.34524326529538</v>
      </c>
      <c r="H16" s="683">
        <f>IF(AND(ISNUMBER(Validation!AN21),Validation!I21=Approved),Validation!AN21,"")</f>
        <v>25.179968864602813</v>
      </c>
      <c r="I16" s="684">
        <f>IF(AND(ISNUMBER(Validation!AO21),Validation!K21=Approved),Validation!AO21,"")</f>
        <v>12.226494830447448</v>
      </c>
      <c r="J16" s="683">
        <f>IF(AND(ISNUMBER(Validation!AP21),Validation!M21=Approved),Validation!AP21,"")</f>
        <v>214.23879543583078</v>
      </c>
      <c r="K16" s="684" t="str">
        <f>IF(AND(ISNUMBER(Validation!AQ21),Validation!O21=Approved),Validation!AQ21,"")</f>
        <v/>
      </c>
      <c r="L16" s="683">
        <f>IF(AND(ISNUMBER(Validation!AR21),Validation!Q21=Approved),Validation!AR21,"")</f>
        <v>212.4032153925566</v>
      </c>
      <c r="M16" s="684" t="str">
        <f>IF(AND(ISNUMBER(Validation!AS21),Validation!S21=Approved),Validation!AS21,"")</f>
        <v/>
      </c>
      <c r="N16" s="683">
        <f>IF(AND(ISNUMBER(Validation!AT21),Validation!U21=Approved),Validation!AT21,"")</f>
        <v>69.310698683931022</v>
      </c>
      <c r="O16" s="684" t="str">
        <f>IF(AND(ISNUMBER(Validation!AU21),Validation!W21=Approved),Validation!AU21,"")</f>
        <v/>
      </c>
      <c r="P16" s="683">
        <f>IF(AND(ISNUMBER(Validation!AV21),Validation!Y21=Approved),Validation!AV21,"")</f>
        <v>16.894040506283758</v>
      </c>
      <c r="Q16" s="684" t="str">
        <f>IF(AND(ISNUMBER(Validation!AW21),Validation!AA21=Approved),Validation!AW21,"")</f>
        <v/>
      </c>
      <c r="R16" s="683">
        <f>IF(AND(ISNUMBER(Validation!AX21),Validation!AC21=Approved),Validation!AX21,"")</f>
        <v>3.0190884300740163E-2</v>
      </c>
      <c r="S16" s="684">
        <f>IF(AND(ISNUMBER(Validation!AY21),Validation!AE21=Approved),Validation!AY21,"")</f>
        <v>2.2622324251331083</v>
      </c>
      <c r="T16" s="683">
        <f>IF(AND(ISNUMBER(Validation!AZ21),Validation!AG21=Approved),Validation!AZ21,"")</f>
        <v>5.495705721428398</v>
      </c>
      <c r="U16" s="684">
        <f>IF(AND(ISNUMBER(Validation!BA21),Validation!AI21=Approved),Validation!BA21,"")</f>
        <v>3.3000121882261739</v>
      </c>
      <c r="V16" s="683">
        <f>IF(AND(ISNUMBER(Validation!BB21),Validation!AK21=Approved),Validation!BB21,"")</f>
        <v>13.527842258015822</v>
      </c>
    </row>
    <row r="17" spans="2:22">
      <c r="B17" s="903"/>
      <c r="C17" s="873"/>
      <c r="D17" s="672" t="s">
        <v>15</v>
      </c>
      <c r="E17" s="603" t="s">
        <v>87</v>
      </c>
      <c r="F17" s="579">
        <f t="shared" si="0"/>
        <v>5.1594563329985581</v>
      </c>
      <c r="G17" s="684">
        <f>IF(AND(ISNUMBER(Validation!AM22),Validation!G22=Approved),Validation!AM22,"")</f>
        <v>0</v>
      </c>
      <c r="H17" s="683">
        <f>IF(AND(ISNUMBER(Validation!AN22),Validation!I22=Approved),Validation!AN22,"")</f>
        <v>0</v>
      </c>
      <c r="I17" s="684">
        <f>IF(AND(ISNUMBER(Validation!AO22),Validation!K22=Approved),Validation!AO22,"")</f>
        <v>0</v>
      </c>
      <c r="J17" s="683">
        <f>IF(AND(ISNUMBER(Validation!AP22),Validation!M22=Approved),Validation!AP22,"")</f>
        <v>6.7218982640697737E-4</v>
      </c>
      <c r="K17" s="684" t="str">
        <f>IF(AND(ISNUMBER(Validation!AQ22),Validation!O22=Approved),Validation!AQ22,"")</f>
        <v/>
      </c>
      <c r="L17" s="683">
        <f>IF(AND(ISNUMBER(Validation!AR22),Validation!Q22=Approved),Validation!AR22,"")</f>
        <v>0</v>
      </c>
      <c r="M17" s="684" t="str">
        <f>IF(AND(ISNUMBER(Validation!AS22),Validation!S22=Approved),Validation!AS22,"")</f>
        <v/>
      </c>
      <c r="N17" s="683">
        <f>IF(AND(ISNUMBER(Validation!AT22),Validation!U22=Approved),Validation!AT22,"")</f>
        <v>26.954160599306508</v>
      </c>
      <c r="O17" s="684" t="str">
        <f>IF(AND(ISNUMBER(Validation!AU22),Validation!W22=Approved),Validation!AU22,"")</f>
        <v/>
      </c>
      <c r="P17" s="683">
        <f>IF(AND(ISNUMBER(Validation!AV22),Validation!Y22=Approved),Validation!AV22,"")</f>
        <v>0.42996497576968207</v>
      </c>
      <c r="Q17" s="684" t="str">
        <f>IF(AND(ISNUMBER(Validation!AW22),Validation!AA22=Approved),Validation!AW22,"")</f>
        <v/>
      </c>
      <c r="R17" s="683" t="str">
        <f>IF(AND(ISNUMBER(Validation!AX22),Validation!AC22=Approved),Validation!AX22,"")</f>
        <v/>
      </c>
      <c r="S17" s="684">
        <f>IF(AND(ISNUMBER(Validation!AY22),Validation!AE22=Approved),Validation!AY22,"")</f>
        <v>7.1552199770801979</v>
      </c>
      <c r="T17" s="683">
        <f>IF(AND(ISNUMBER(Validation!AZ22),Validation!AG22=Approved),Validation!AZ22,"")</f>
        <v>5.5477155547542187</v>
      </c>
      <c r="U17" s="684">
        <f>IF(AND(ISNUMBER(Validation!BA22),Validation!AI22=Approved),Validation!BA22,"")</f>
        <v>1.598455891608706E-2</v>
      </c>
      <c r="V17" s="683">
        <f>IF(AND(ISNUMBER(Validation!BB22),Validation!AK22=Approved),Validation!BB22,"")</f>
        <v>1.3796077420433095E-3</v>
      </c>
    </row>
    <row r="18" spans="2:22">
      <c r="B18" s="903"/>
      <c r="C18" s="873"/>
      <c r="D18" s="672" t="s">
        <v>16</v>
      </c>
      <c r="E18" s="603" t="s">
        <v>88</v>
      </c>
      <c r="F18" s="579">
        <f t="shared" si="0"/>
        <v>42.124367709251104</v>
      </c>
      <c r="G18" s="684">
        <f>IF(AND(ISNUMBER(Validation!AM23),Validation!G23=Approved),Validation!AM23,"")</f>
        <v>0</v>
      </c>
      <c r="H18" s="683">
        <f>IF(AND(ISNUMBER(Validation!AN23),Validation!I23=Approved),Validation!AN23,"")</f>
        <v>0</v>
      </c>
      <c r="I18" s="684">
        <f>IF(AND(ISNUMBER(Validation!AO23),Validation!K23=Approved),Validation!AO23,"")</f>
        <v>37.07889534168676</v>
      </c>
      <c r="J18" s="683">
        <f>IF(AND(ISNUMBER(Validation!AP23),Validation!M23=Approved),Validation!AP23,"")</f>
        <v>45.424518123918205</v>
      </c>
      <c r="K18" s="684" t="str">
        <f>IF(AND(ISNUMBER(Validation!AQ23),Validation!O23=Approved),Validation!AQ23,"")</f>
        <v/>
      </c>
      <c r="L18" s="683">
        <f>IF(AND(ISNUMBER(Validation!AR23),Validation!Q23=Approved),Validation!AR23,"")</f>
        <v>0</v>
      </c>
      <c r="M18" s="684" t="str">
        <f>IF(AND(ISNUMBER(Validation!AS23),Validation!S23=Approved),Validation!AS23,"")</f>
        <v/>
      </c>
      <c r="N18" s="683">
        <f>IF(AND(ISNUMBER(Validation!AT23),Validation!U23=Approved),Validation!AT23,"")</f>
        <v>41.714772356069595</v>
      </c>
      <c r="O18" s="684" t="str">
        <f>IF(AND(ISNUMBER(Validation!AU23),Validation!W23=Approved),Validation!AU23,"")</f>
        <v/>
      </c>
      <c r="P18" s="683">
        <f>IF(AND(ISNUMBER(Validation!AV23),Validation!Y23=Approved),Validation!AV23,"")</f>
        <v>5.3148448393752368</v>
      </c>
      <c r="Q18" s="684" t="str">
        <f>IF(AND(ISNUMBER(Validation!AW23),Validation!AA23=Approved),Validation!AW23,"")</f>
        <v/>
      </c>
      <c r="R18" s="683" t="str">
        <f>IF(AND(ISNUMBER(Validation!AX23),Validation!AC23=Approved),Validation!AX23,"")</f>
        <v/>
      </c>
      <c r="S18" s="684">
        <f>IF(AND(ISNUMBER(Validation!AY23),Validation!AE23=Approved),Validation!AY23,"")</f>
        <v>43.758483590328048</v>
      </c>
      <c r="T18" s="683">
        <f>IF(AND(ISNUMBER(Validation!AZ23),Validation!AG23=Approved),Validation!AZ23,"")</f>
        <v>82.288744725336073</v>
      </c>
      <c r="U18" s="684">
        <f>IF(AND(ISNUMBER(Validation!BA23),Validation!AI23=Approved),Validation!BA23,"")</f>
        <v>7.7233392542803649</v>
      </c>
      <c r="V18" s="683">
        <f>IF(AND(ISNUMBER(Validation!BB23),Validation!AK23=Approved),Validation!BB23,"")</f>
        <v>27.801855217656776</v>
      </c>
    </row>
    <row r="19" spans="2:22">
      <c r="B19" s="903"/>
      <c r="C19" s="873"/>
      <c r="D19" s="672" t="s">
        <v>17</v>
      </c>
      <c r="E19" s="603" t="s">
        <v>89</v>
      </c>
      <c r="F19" s="579">
        <f t="shared" si="0"/>
        <v>0.79394843052272213</v>
      </c>
      <c r="G19" s="684">
        <f>IF(AND(ISNUMBER(Validation!AM24),Validation!G24=Approved),Validation!AM24,"")</f>
        <v>0</v>
      </c>
      <c r="H19" s="683">
        <f>IF(AND(ISNUMBER(Validation!AN24),Validation!I24=Approved),Validation!AN24,"")</f>
        <v>0</v>
      </c>
      <c r="I19" s="684">
        <f>IF(AND(ISNUMBER(Validation!AO24),Validation!K24=Approved),Validation!AO24,"")</f>
        <v>0.27083059048789326</v>
      </c>
      <c r="J19" s="683">
        <f>IF(AND(ISNUMBER(Validation!AP24),Validation!M24=Approved),Validation!AP24,"")</f>
        <v>0.84480817382828899</v>
      </c>
      <c r="K19" s="684" t="str">
        <f>IF(AND(ISNUMBER(Validation!AQ24),Validation!O24=Approved),Validation!AQ24,"")</f>
        <v/>
      </c>
      <c r="L19" s="683">
        <f>IF(AND(ISNUMBER(Validation!AR24),Validation!Q24=Approved),Validation!AR24,"")</f>
        <v>0</v>
      </c>
      <c r="M19" s="684" t="str">
        <f>IF(AND(ISNUMBER(Validation!AS24),Validation!S24=Approved),Validation!AS24,"")</f>
        <v/>
      </c>
      <c r="N19" s="683">
        <f>IF(AND(ISNUMBER(Validation!AT24),Validation!U24=Approved),Validation!AT24,"")</f>
        <v>1.7113752761464449</v>
      </c>
      <c r="O19" s="684" t="str">
        <f>IF(AND(ISNUMBER(Validation!AU24),Validation!W24=Approved),Validation!AU24,"")</f>
        <v/>
      </c>
      <c r="P19" s="683">
        <f>IF(AND(ISNUMBER(Validation!AV24),Validation!Y24=Approved),Validation!AV24,"")</f>
        <v>2.2274574439179364</v>
      </c>
      <c r="Q19" s="684" t="str">
        <f>IF(AND(ISNUMBER(Validation!AW24),Validation!AA24=Approved),Validation!AW24,"")</f>
        <v/>
      </c>
      <c r="R19" s="683">
        <f>IF(AND(ISNUMBER(Validation!AX24),Validation!AC24=Approved),Validation!AX24,"")</f>
        <v>4.6786131671211528</v>
      </c>
      <c r="S19" s="684">
        <f>IF(AND(ISNUMBER(Validation!AY24),Validation!AE24=Approved),Validation!AY24,"")</f>
        <v>0.11654136719822479</v>
      </c>
      <c r="T19" s="683">
        <f>IF(AND(ISNUMBER(Validation!AZ24),Validation!AG24=Approved),Validation!AZ24,"")</f>
        <v>0</v>
      </c>
      <c r="U19" s="684">
        <f>IF(AND(ISNUMBER(Validation!BA24),Validation!AI24=Approved),Validation!BA24,"")</f>
        <v>0.25175680292837121</v>
      </c>
      <c r="V19" s="683">
        <f>IF(AND(ISNUMBER(Validation!BB24),Validation!AK24=Approved),Validation!BB24,"")</f>
        <v>2.9247684131318157</v>
      </c>
    </row>
    <row r="20" spans="2:22">
      <c r="B20" s="903"/>
      <c r="C20" s="873"/>
      <c r="D20" s="672" t="s">
        <v>18</v>
      </c>
      <c r="E20" s="603" t="s">
        <v>90</v>
      </c>
      <c r="F20" s="579">
        <f t="shared" si="0"/>
        <v>0.13918181199162688</v>
      </c>
      <c r="G20" s="684">
        <f>IF(AND(ISNUMBER(Validation!AM25),Validation!G25=Approved),Validation!AM25,"")</f>
        <v>0</v>
      </c>
      <c r="H20" s="683">
        <f>IF(AND(ISNUMBER(Validation!AN25),Validation!I25=Approved),Validation!AN25,"")</f>
        <v>0</v>
      </c>
      <c r="I20" s="684">
        <f>IF(AND(ISNUMBER(Validation!AO25),Validation!K25=Approved),Validation!AO25,"")</f>
        <v>0</v>
      </c>
      <c r="J20" s="683">
        <f>IF(AND(ISNUMBER(Validation!AP25),Validation!M25=Approved),Validation!AP25,"")</f>
        <v>0</v>
      </c>
      <c r="K20" s="684" t="str">
        <f>IF(AND(ISNUMBER(Validation!AQ25),Validation!O25=Approved),Validation!AQ25,"")</f>
        <v/>
      </c>
      <c r="L20" s="683">
        <f>IF(AND(ISNUMBER(Validation!AR25),Validation!Q25=Approved),Validation!AR25,"")</f>
        <v>0</v>
      </c>
      <c r="M20" s="684" t="str">
        <f>IF(AND(ISNUMBER(Validation!AS25),Validation!S25=Approved),Validation!AS25,"")</f>
        <v/>
      </c>
      <c r="N20" s="683">
        <f>IF(AND(ISNUMBER(Validation!AT25),Validation!U25=Approved),Validation!AT25,"")</f>
        <v>0.21392190951830561</v>
      </c>
      <c r="O20" s="684" t="str">
        <f>IF(AND(ISNUMBER(Validation!AU25),Validation!W25=Approved),Validation!AU25,"")</f>
        <v/>
      </c>
      <c r="P20" s="683">
        <f>IF(AND(ISNUMBER(Validation!AV25),Validation!Y25=Approved),Validation!AV25,"")</f>
        <v>5.3745621971210258E-2</v>
      </c>
      <c r="Q20" s="684" t="str">
        <f>IF(AND(ISNUMBER(Validation!AW25),Validation!AA25=Approved),Validation!AW25,"")</f>
        <v/>
      </c>
      <c r="R20" s="683" t="str">
        <f>IF(AND(ISNUMBER(Validation!AX25),Validation!AC25=Approved),Validation!AX25,"")</f>
        <v/>
      </c>
      <c r="S20" s="684">
        <f>IF(AND(ISNUMBER(Validation!AY25),Validation!AE25=Approved),Validation!AY25,"")</f>
        <v>0.69994815134068944</v>
      </c>
      <c r="T20" s="683">
        <f>IF(AND(ISNUMBER(Validation!AZ25),Validation!AG25=Approved),Validation!AZ25,"")</f>
        <v>0</v>
      </c>
      <c r="U20" s="684">
        <f>IF(AND(ISNUMBER(Validation!BA25),Validation!AI25=Approved),Validation!BA25,"")</f>
        <v>6.2339779772739537E-2</v>
      </c>
      <c r="V20" s="683">
        <f>IF(AND(ISNUMBER(Validation!BB25),Validation!AK25=Approved),Validation!BB25,"")</f>
        <v>5.518430968173238E-2</v>
      </c>
    </row>
    <row r="21" spans="2:22">
      <c r="B21" s="903"/>
      <c r="C21" s="873"/>
      <c r="D21" s="672" t="s">
        <v>19</v>
      </c>
      <c r="E21" s="603" t="s">
        <v>141</v>
      </c>
      <c r="F21" s="579">
        <f t="shared" si="0"/>
        <v>0.10026723889875815</v>
      </c>
      <c r="G21" s="684">
        <f>IF(AND(ISNUMBER(Validation!AM26),Validation!G26=Approved),Validation!AM26,"")</f>
        <v>0</v>
      </c>
      <c r="H21" s="683">
        <f>IF(AND(ISNUMBER(Validation!AN26),Validation!I26=Approved),Validation!AN26,"")</f>
        <v>0</v>
      </c>
      <c r="I21" s="684">
        <f>IF(AND(ISNUMBER(Validation!AO26),Validation!K26=Approved),Validation!AO26,"")</f>
        <v>0</v>
      </c>
      <c r="J21" s="683">
        <f>IF(AND(ISNUMBER(Validation!AP26),Validation!M26=Approved),Validation!AP26,"")</f>
        <v>0</v>
      </c>
      <c r="K21" s="684" t="str">
        <f>IF(AND(ISNUMBER(Validation!AQ26),Validation!O26=Approved),Validation!AQ26,"")</f>
        <v/>
      </c>
      <c r="L21" s="683">
        <f>IF(AND(ISNUMBER(Validation!AR26),Validation!Q26=Approved),Validation!AR26,"")</f>
        <v>0</v>
      </c>
      <c r="M21" s="684" t="str">
        <f>IF(AND(ISNUMBER(Validation!AS26),Validation!S26=Approved),Validation!AS26,"")</f>
        <v/>
      </c>
      <c r="N21" s="683">
        <f>IF(AND(ISNUMBER(Validation!AT26),Validation!U26=Approved),Validation!AT26,"")</f>
        <v>0</v>
      </c>
      <c r="O21" s="684" t="str">
        <f>IF(AND(ISNUMBER(Validation!AU26),Validation!W26=Approved),Validation!AU26,"")</f>
        <v/>
      </c>
      <c r="P21" s="683">
        <f>IF(AND(ISNUMBER(Validation!AV26),Validation!Y26=Approved),Validation!AV26,"")</f>
        <v>0</v>
      </c>
      <c r="Q21" s="684" t="str">
        <f>IF(AND(ISNUMBER(Validation!AW26),Validation!AA26=Approved),Validation!AW26,"")</f>
        <v/>
      </c>
      <c r="R21" s="683" t="str">
        <f>IF(AND(ISNUMBER(Validation!AX26),Validation!AC26=Approved),Validation!AX26,"")</f>
        <v/>
      </c>
      <c r="S21" s="684">
        <f>IF(AND(ISNUMBER(Validation!AY26),Validation!AE26=Approved),Validation!AY26,"")</f>
        <v>0</v>
      </c>
      <c r="T21" s="683">
        <f>IF(AND(ISNUMBER(Validation!AZ26),Validation!AG26=Approved),Validation!AZ26,"")</f>
        <v>0</v>
      </c>
      <c r="U21" s="684">
        <f>IF(AND(ISNUMBER(Validation!BA26),Validation!AI26=Approved),Validation!BA26,"")</f>
        <v>0.36444794328678493</v>
      </c>
      <c r="V21" s="683">
        <f>IF(AND(ISNUMBER(Validation!BB26),Validation!AK26=Approved),Validation!BB26,"")</f>
        <v>1.1699467826167849</v>
      </c>
    </row>
    <row r="22" spans="2:22">
      <c r="B22" s="903"/>
      <c r="C22" s="873"/>
      <c r="D22" s="672" t="s">
        <v>142</v>
      </c>
      <c r="E22" s="603" t="s">
        <v>143</v>
      </c>
      <c r="F22" s="579">
        <f t="shared" si="0"/>
        <v>5.1682811731016288E-3</v>
      </c>
      <c r="G22" s="684">
        <f>IF(AND(ISNUMBER(Validation!AM27),Validation!G27=Approved),Validation!AM27,"")</f>
        <v>0</v>
      </c>
      <c r="H22" s="683">
        <f>IF(AND(ISNUMBER(Validation!AN27),Validation!I27=Approved),Validation!AN27,"")</f>
        <v>0</v>
      </c>
      <c r="I22" s="684">
        <f>IF(AND(ISNUMBER(Validation!AO27),Validation!K27=Approved),Validation!AO27,"")</f>
        <v>0</v>
      </c>
      <c r="J22" s="683">
        <f>IF(AND(ISNUMBER(Validation!AP27),Validation!M27=Approved),Validation!AP27,"")</f>
        <v>0</v>
      </c>
      <c r="K22" s="684" t="str">
        <f>IF(AND(ISNUMBER(Validation!AQ27),Validation!O27=Approved),Validation!AQ27,"")</f>
        <v/>
      </c>
      <c r="L22" s="683">
        <f>IF(AND(ISNUMBER(Validation!AR27),Validation!Q27=Approved),Validation!AR27,"")</f>
        <v>0</v>
      </c>
      <c r="M22" s="684" t="str">
        <f>IF(AND(ISNUMBER(Validation!AS27),Validation!S27=Approved),Validation!AS27,"")</f>
        <v/>
      </c>
      <c r="N22" s="683">
        <f>IF(AND(ISNUMBER(Validation!AT27),Validation!U27=Approved),Validation!AT27,"")</f>
        <v>0</v>
      </c>
      <c r="O22" s="684" t="str">
        <f>IF(AND(ISNUMBER(Validation!AU27),Validation!W27=Approved),Validation!AU27,"")</f>
        <v/>
      </c>
      <c r="P22" s="683">
        <f>IF(AND(ISNUMBER(Validation!AV27),Validation!Y27=Approved),Validation!AV27,"")</f>
        <v>0</v>
      </c>
      <c r="Q22" s="684" t="str">
        <f>IF(AND(ISNUMBER(Validation!AW27),Validation!AA27=Approved),Validation!AW27,"")</f>
        <v/>
      </c>
      <c r="R22" s="683" t="str">
        <f>IF(AND(ISNUMBER(Validation!AX27),Validation!AC27=Approved),Validation!AX27,"")</f>
        <v/>
      </c>
      <c r="S22" s="684">
        <f>IF(AND(ISNUMBER(Validation!AY27),Validation!AE27=Approved),Validation!AY27,"")</f>
        <v>0</v>
      </c>
      <c r="T22" s="683">
        <f>IF(AND(ISNUMBER(Validation!AZ27),Validation!AG27=Approved),Validation!AZ27,"")</f>
        <v>0</v>
      </c>
      <c r="U22" s="684">
        <f>IF(AND(ISNUMBER(Validation!BA27),Validation!AI27=Approved),Validation!BA27,"")</f>
        <v>7.9922794580435302E-2</v>
      </c>
      <c r="V22" s="683">
        <f>IF(AND(ISNUMBER(Validation!BB27),Validation!AK27=Approved),Validation!BB27,"")</f>
        <v>0</v>
      </c>
    </row>
    <row r="23" spans="2:22">
      <c r="B23" s="903"/>
      <c r="C23" s="873"/>
      <c r="D23" s="672" t="s">
        <v>20</v>
      </c>
      <c r="E23" s="603" t="s">
        <v>91</v>
      </c>
      <c r="F23" s="579">
        <f t="shared" si="0"/>
        <v>20.397035112139427</v>
      </c>
      <c r="G23" s="684">
        <f>IF(AND(ISNUMBER(Validation!AM28),Validation!G28=Approved),Validation!AM28,"")</f>
        <v>0</v>
      </c>
      <c r="H23" s="683">
        <f>IF(AND(ISNUMBER(Validation!AN28),Validation!I28=Approved),Validation!AN28,"")</f>
        <v>0</v>
      </c>
      <c r="I23" s="684">
        <f>IF(AND(ISNUMBER(Validation!AO28),Validation!K28=Approved),Validation!AO28,"")</f>
        <v>0.97184770530164255</v>
      </c>
      <c r="J23" s="683">
        <f>IF(AND(ISNUMBER(Validation!AP28),Validation!M28=Approved),Validation!AP28,"")</f>
        <v>0.20434570722772111</v>
      </c>
      <c r="K23" s="684" t="str">
        <f>IF(AND(ISNUMBER(Validation!AQ28),Validation!O28=Approved),Validation!AQ28,"")</f>
        <v/>
      </c>
      <c r="L23" s="683">
        <f>IF(AND(ISNUMBER(Validation!AR28),Validation!Q28=Approved),Validation!AR28,"")</f>
        <v>0</v>
      </c>
      <c r="M23" s="684" t="str">
        <f>IF(AND(ISNUMBER(Validation!AS28),Validation!S28=Approved),Validation!AS28,"")</f>
        <v/>
      </c>
      <c r="N23" s="683">
        <f>IF(AND(ISNUMBER(Validation!AT28),Validation!U28=Approved),Validation!AT28,"")</f>
        <v>89.633280088170054</v>
      </c>
      <c r="O23" s="684" t="str">
        <f>IF(AND(ISNUMBER(Validation!AU28),Validation!W28=Approved),Validation!AU28,"")</f>
        <v/>
      </c>
      <c r="P23" s="683">
        <f>IF(AND(ISNUMBER(Validation!AV28),Validation!Y28=Approved),Validation!AV28,"")</f>
        <v>31.697973491464897</v>
      </c>
      <c r="Q23" s="684" t="str">
        <f>IF(AND(ISNUMBER(Validation!AW28),Validation!AA28=Approved),Validation!AW28,"")</f>
        <v/>
      </c>
      <c r="R23" s="683" t="str">
        <f>IF(AND(ISNUMBER(Validation!AX28),Validation!AC28=Approved),Validation!AX28,"")</f>
        <v/>
      </c>
      <c r="S23" s="684">
        <f>IF(AND(ISNUMBER(Validation!AY28),Validation!AE28=Approved),Validation!AY28,"")</f>
        <v>33.779672770739509</v>
      </c>
      <c r="T23" s="683">
        <f>IF(AND(ISNUMBER(Validation!AZ28),Validation!AG28=Approved),Validation!AZ28,"")</f>
        <v>18.907308075046721</v>
      </c>
      <c r="U23" s="684">
        <f>IF(AND(ISNUMBER(Validation!BA28),Validation!AI28=Approved),Validation!BA28,"")</f>
        <v>1.1988419187065296</v>
      </c>
      <c r="V23" s="683">
        <f>IF(AND(ISNUMBER(Validation!BB28),Validation!AK28=Approved),Validation!BB28,"")</f>
        <v>1.3559573236082814</v>
      </c>
    </row>
    <row r="24" spans="2:22">
      <c r="B24" s="903"/>
      <c r="C24" s="873"/>
      <c r="D24" s="672" t="s">
        <v>21</v>
      </c>
      <c r="E24" s="603" t="s">
        <v>144</v>
      </c>
      <c r="F24" s="579">
        <f t="shared" si="0"/>
        <v>0.13520272855565688</v>
      </c>
      <c r="G24" s="684">
        <f>IF(AND(ISNUMBER(Validation!AM29),Validation!G29=Approved),Validation!AM29,"")</f>
        <v>0</v>
      </c>
      <c r="H24" s="683">
        <f>IF(AND(ISNUMBER(Validation!AN29),Validation!I29=Approved),Validation!AN29,"")</f>
        <v>0</v>
      </c>
      <c r="I24" s="684">
        <f>IF(AND(ISNUMBER(Validation!AO29),Validation!K29=Approved),Validation!AO29,"")</f>
        <v>0</v>
      </c>
      <c r="J24" s="683">
        <f>IF(AND(ISNUMBER(Validation!AP29),Validation!M29=Approved),Validation!AP29,"")</f>
        <v>0</v>
      </c>
      <c r="K24" s="684" t="str">
        <f>IF(AND(ISNUMBER(Validation!AQ29),Validation!O29=Approved),Validation!AQ29,"")</f>
        <v/>
      </c>
      <c r="L24" s="683">
        <f>IF(AND(ISNUMBER(Validation!AR29),Validation!Q29=Approved),Validation!AR29,"")</f>
        <v>0</v>
      </c>
      <c r="M24" s="684" t="str">
        <f>IF(AND(ISNUMBER(Validation!AS29),Validation!S29=Approved),Validation!AS29,"")</f>
        <v/>
      </c>
      <c r="N24" s="683" t="str">
        <f>IF(AND(ISNUMBER(Validation!AT29),Validation!U29=Approved),Validation!AT29,"")</f>
        <v/>
      </c>
      <c r="O24" s="684" t="str">
        <f>IF(AND(ISNUMBER(Validation!AU29),Validation!W29=Approved),Validation!AU29,"")</f>
        <v/>
      </c>
      <c r="P24" s="683">
        <f>IF(AND(ISNUMBER(Validation!AV29),Validation!Y29=Approved),Validation!AV29,"")</f>
        <v>0</v>
      </c>
      <c r="Q24" s="684" t="str">
        <f>IF(AND(ISNUMBER(Validation!AW29),Validation!AA29=Approved),Validation!AW29,"")</f>
        <v/>
      </c>
      <c r="R24" s="683" t="str">
        <f>IF(AND(ISNUMBER(Validation!AX29),Validation!AC29=Approved),Validation!AX29,"")</f>
        <v/>
      </c>
      <c r="S24" s="684">
        <f>IF(AND(ISNUMBER(Validation!AY29),Validation!AE29=Approved),Validation!AY29,"")</f>
        <v>0</v>
      </c>
      <c r="T24" s="683">
        <f>IF(AND(ISNUMBER(Validation!AZ29),Validation!AG29=Approved),Validation!AZ29,"")</f>
        <v>0.34673222217213867</v>
      </c>
      <c r="U24" s="684">
        <f>IF(AND(ISNUMBER(Validation!BA29),Validation!AI29=Approved),Validation!BA29,"")</f>
        <v>0.63938235664348242</v>
      </c>
      <c r="V24" s="683">
        <f>IF(AND(ISNUMBER(Validation!BB29),Validation!AK29=Approved),Validation!BB29,"")</f>
        <v>0.39417364058380272</v>
      </c>
    </row>
    <row r="25" spans="2:22">
      <c r="B25" s="903"/>
      <c r="C25" s="873"/>
      <c r="D25" s="672" t="s">
        <v>22</v>
      </c>
      <c r="E25" s="603" t="s">
        <v>92</v>
      </c>
      <c r="F25" s="579">
        <f t="shared" si="0"/>
        <v>28.814459610334858</v>
      </c>
      <c r="G25" s="684">
        <f>IF(AND(ISNUMBER(Validation!AM30),Validation!G30=Approved),Validation!AM30,"")</f>
        <v>0</v>
      </c>
      <c r="H25" s="683">
        <f>IF(AND(ISNUMBER(Validation!AN30),Validation!I30=Approved),Validation!AN30,"")</f>
        <v>0</v>
      </c>
      <c r="I25" s="684">
        <f>IF(AND(ISNUMBER(Validation!AO30),Validation!K30=Approved),Validation!AO30,"")</f>
        <v>0.1997875073616617</v>
      </c>
      <c r="J25" s="683">
        <f>IF(AND(ISNUMBER(Validation!AP30),Validation!M30=Approved),Validation!AP30,"")</f>
        <v>2.6887593056279095E-3</v>
      </c>
      <c r="K25" s="684" t="str">
        <f>IF(AND(ISNUMBER(Validation!AQ30),Validation!O30=Approved),Validation!AQ30,"")</f>
        <v/>
      </c>
      <c r="L25" s="683">
        <f>IF(AND(ISNUMBER(Validation!AR30),Validation!Q30=Approved),Validation!AR30,"")</f>
        <v>0</v>
      </c>
      <c r="M25" s="684" t="str">
        <f>IF(AND(ISNUMBER(Validation!AS30),Validation!S30=Approved),Validation!AS30,"")</f>
        <v/>
      </c>
      <c r="N25" s="683">
        <f>IF(AND(ISNUMBER(Validation!AT30),Validation!U30=Approved),Validation!AT30,"")</f>
        <v>27.382004418343119</v>
      </c>
      <c r="O25" s="684" t="str">
        <f>IF(AND(ISNUMBER(Validation!AU30),Validation!W30=Approved),Validation!AU30,"")</f>
        <v/>
      </c>
      <c r="P25" s="683">
        <f>IF(AND(ISNUMBER(Validation!AV30),Validation!Y30=Approved),Validation!AV30,"")</f>
        <v>485.22144689186081</v>
      </c>
      <c r="Q25" s="684" t="str">
        <f>IF(AND(ISNUMBER(Validation!AW30),Validation!AA30=Approved),Validation!AW30,"")</f>
        <v/>
      </c>
      <c r="R25" s="683" t="str">
        <f>IF(AND(ISNUMBER(Validation!AX30),Validation!AC30=Approved),Validation!AX30,"")</f>
        <v/>
      </c>
      <c r="S25" s="684">
        <f>IF(AND(ISNUMBER(Validation!AY30),Validation!AE30=Approved),Validation!AY30,"")</f>
        <v>11.362433327751246</v>
      </c>
      <c r="T25" s="683">
        <f>IF(AND(ISNUMBER(Validation!AZ30),Validation!AG30=Approved),Validation!AZ30,"")</f>
        <v>2.4167235885398064</v>
      </c>
      <c r="U25" s="684">
        <f>IF(AND(ISNUMBER(Validation!BA30),Validation!AI30=Approved),Validation!BA30,"")</f>
        <v>1.39904851913052</v>
      </c>
      <c r="V25" s="683">
        <f>IF(AND(ISNUMBER(Validation!BB30),Validation!AK30=Approved),Validation!BB30,"")</f>
        <v>35.732234692562301</v>
      </c>
    </row>
    <row r="26" spans="2:22">
      <c r="B26" s="903"/>
      <c r="C26" s="873"/>
      <c r="D26" s="672" t="s">
        <v>23</v>
      </c>
      <c r="E26" s="603" t="s">
        <v>93</v>
      </c>
      <c r="F26" s="579">
        <f t="shared" si="0"/>
        <v>3396.3465344314832</v>
      </c>
      <c r="G26" s="684">
        <f>IF(AND(ISNUMBER(Validation!AM31),Validation!G31=Approved),Validation!AM31,"")</f>
        <v>247.3054601444984</v>
      </c>
      <c r="H26" s="683">
        <f>IF(AND(ISNUMBER(Validation!AN31),Validation!I31=Approved),Validation!AN31,"")</f>
        <v>183.80854865167012</v>
      </c>
      <c r="I26" s="684">
        <f>IF(AND(ISNUMBER(Validation!AO31),Validation!K31=Approved),Validation!AO31,"")</f>
        <v>2417.8514946272749</v>
      </c>
      <c r="J26" s="683">
        <f>IF(AND(ISNUMBER(Validation!AP31),Validation!M31=Approved),Validation!AP31,"")</f>
        <v>2956.5365956946225</v>
      </c>
      <c r="K26" s="684" t="str">
        <f>IF(AND(ISNUMBER(Validation!AQ31),Validation!O31=Approved),Validation!AQ31,"")</f>
        <v/>
      </c>
      <c r="L26" s="683">
        <f>IF(AND(ISNUMBER(Validation!AR31),Validation!Q31=Approved),Validation!AR31,"")</f>
        <v>4042.5669099585652</v>
      </c>
      <c r="M26" s="684" t="str">
        <f>IF(AND(ISNUMBER(Validation!AS31),Validation!S31=Approved),Validation!AS31,"")</f>
        <v/>
      </c>
      <c r="N26" s="683">
        <f>IF(AND(ISNUMBER(Validation!AT31),Validation!U31=Approved),Validation!AT31,"")</f>
        <v>2910.4075789965477</v>
      </c>
      <c r="O26" s="684" t="str">
        <f>IF(AND(ISNUMBER(Validation!AU31),Validation!W31=Approved),Validation!AU31,"")</f>
        <v/>
      </c>
      <c r="P26" s="683">
        <f>IF(AND(ISNUMBER(Validation!AV31),Validation!Y31=Approved),Validation!AV31,"")</f>
        <v>39680.864468470725</v>
      </c>
      <c r="Q26" s="684" t="str">
        <f>IF(AND(ISNUMBER(Validation!AW31),Validation!AA31=Approved),Validation!AW31,"")</f>
        <v/>
      </c>
      <c r="R26" s="683">
        <f>IF(AND(ISNUMBER(Validation!AX31),Validation!AC31=Approved),Validation!AX31,"")</f>
        <v>20282.98792364628</v>
      </c>
      <c r="S26" s="684">
        <f>IF(AND(ISNUMBER(Validation!AY31),Validation!AE31=Approved),Validation!AY31,"")</f>
        <v>121.89369572448921</v>
      </c>
      <c r="T26" s="683">
        <f>IF(AND(ISNUMBER(Validation!AZ31),Validation!AG31=Approved),Validation!AZ31,"")</f>
        <v>99.89962102168117</v>
      </c>
      <c r="U26" s="684">
        <f>IF(AND(ISNUMBER(Validation!BA31),Validation!AI31=Approved),Validation!BA31,"")</f>
        <v>57.968402523162638</v>
      </c>
      <c r="V26" s="683">
        <f>IF(AND(ISNUMBER(Validation!BB31),Validation!AK31=Approved),Validation!BB31,"")</f>
        <v>119.90663603149135</v>
      </c>
    </row>
    <row r="27" spans="2:22">
      <c r="B27" s="903"/>
      <c r="C27" s="873"/>
      <c r="D27" s="672" t="s">
        <v>24</v>
      </c>
      <c r="E27" s="603" t="s">
        <v>94</v>
      </c>
      <c r="F27" s="579">
        <f t="shared" si="0"/>
        <v>5392.7540534878171</v>
      </c>
      <c r="G27" s="684">
        <f>IF(AND(ISNUMBER(Validation!AM32),Validation!G32=Approved),Validation!AM32,"")</f>
        <v>0</v>
      </c>
      <c r="H27" s="683">
        <f>IF(AND(ISNUMBER(Validation!AN32),Validation!I32=Approved),Validation!AN32,"")</f>
        <v>0</v>
      </c>
      <c r="I27" s="684">
        <f>IF(AND(ISNUMBER(Validation!AO32),Validation!K32=Approved),Validation!AO32,"")</f>
        <v>22.813972501653843</v>
      </c>
      <c r="J27" s="683">
        <f>IF(AND(ISNUMBER(Validation!AP32),Validation!M32=Approved),Validation!AP32,"")</f>
        <v>26.235972238560173</v>
      </c>
      <c r="K27" s="684" t="str">
        <f>IF(AND(ISNUMBER(Validation!AQ32),Validation!O32=Approved),Validation!AQ32,"")</f>
        <v/>
      </c>
      <c r="L27" s="683">
        <f>IF(AND(ISNUMBER(Validation!AR32),Validation!Q32=Approved),Validation!AR32,"")</f>
        <v>0</v>
      </c>
      <c r="M27" s="684" t="str">
        <f>IF(AND(ISNUMBER(Validation!AS32),Validation!S32=Approved),Validation!AS32,"")</f>
        <v/>
      </c>
      <c r="N27" s="683">
        <f>IF(AND(ISNUMBER(Validation!AT32),Validation!U32=Approved),Validation!AT32,"")</f>
        <v>144.3972889248563</v>
      </c>
      <c r="O27" s="684" t="str">
        <f>IF(AND(ISNUMBER(Validation!AU32),Validation!W32=Approved),Validation!AU32,"")</f>
        <v/>
      </c>
      <c r="P27" s="683">
        <f>IF(AND(ISNUMBER(Validation!AV32),Validation!Y32=Approved),Validation!AV32,"")</f>
        <v>54545.267250105251</v>
      </c>
      <c r="Q27" s="684" t="str">
        <f>IF(AND(ISNUMBER(Validation!AW32),Validation!AA32=Approved),Validation!AW32,"")</f>
        <v/>
      </c>
      <c r="R27" s="683">
        <f>IF(AND(ISNUMBER(Validation!AX32),Validation!AC32=Approved),Validation!AX32,"")</f>
        <v>216536.81340085703</v>
      </c>
      <c r="S27" s="684">
        <f>IF(AND(ISNUMBER(Validation!AY32),Validation!AE32=Approved),Validation!AY32,"")</f>
        <v>1063.4709483894976</v>
      </c>
      <c r="T27" s="683">
        <f>IF(AND(ISNUMBER(Validation!AZ32),Validation!AG32=Approved),Validation!AZ32,"")</f>
        <v>165.87704181937329</v>
      </c>
      <c r="U27" s="684">
        <f>IF(AND(ISNUMBER(Validation!BA32),Validation!AI32=Approved),Validation!BA32,"")</f>
        <v>90.805481904480274</v>
      </c>
      <c r="V27" s="683">
        <f>IF(AND(ISNUMBER(Validation!BB32),Validation!AK32=Approved),Validation!BB32,"")</f>
        <v>254.67610160692763</v>
      </c>
    </row>
    <row r="28" spans="2:22">
      <c r="B28" s="903"/>
      <c r="C28" s="873"/>
      <c r="D28" s="672" t="s">
        <v>25</v>
      </c>
      <c r="E28" s="603" t="s">
        <v>145</v>
      </c>
      <c r="F28" s="579">
        <f t="shared" si="0"/>
        <v>1.0321057502683952</v>
      </c>
      <c r="G28" s="684">
        <f>IF(AND(ISNUMBER(Validation!AM33),Validation!G33=Approved),Validation!AM33,"")</f>
        <v>0</v>
      </c>
      <c r="H28" s="683">
        <f>IF(AND(ISNUMBER(Validation!AN33),Validation!I33=Approved),Validation!AN33,"")</f>
        <v>0</v>
      </c>
      <c r="I28" s="684">
        <f>IF(AND(ISNUMBER(Validation!AO33),Validation!K33=Approved),Validation!AO33,"")</f>
        <v>0</v>
      </c>
      <c r="J28" s="683">
        <f>IF(AND(ISNUMBER(Validation!AP33),Validation!M33=Approved),Validation!AP33,"")</f>
        <v>4.3584788344228409</v>
      </c>
      <c r="K28" s="684" t="str">
        <f>IF(AND(ISNUMBER(Validation!AQ33),Validation!O33=Approved),Validation!AQ33,"")</f>
        <v/>
      </c>
      <c r="L28" s="683">
        <f>IF(AND(ISNUMBER(Validation!AR33),Validation!Q33=Approved),Validation!AR33,"")</f>
        <v>0</v>
      </c>
      <c r="M28" s="684" t="str">
        <f>IF(AND(ISNUMBER(Validation!AS33),Validation!S33=Approved),Validation!AS33,"")</f>
        <v/>
      </c>
      <c r="N28" s="683">
        <f>IF(AND(ISNUMBER(Validation!AT33),Validation!U33=Approved),Validation!AT33,"")</f>
        <v>0.21392190951830561</v>
      </c>
      <c r="O28" s="684" t="str">
        <f>IF(AND(ISNUMBER(Validation!AU33),Validation!W33=Approved),Validation!AU33,"")</f>
        <v/>
      </c>
      <c r="P28" s="683">
        <f>IF(AND(ISNUMBER(Validation!AV33),Validation!Y33=Approved),Validation!AV33,"")</f>
        <v>3.8935717250254545</v>
      </c>
      <c r="Q28" s="684" t="str">
        <f>IF(AND(ISNUMBER(Validation!AW33),Validation!AA33=Approved),Validation!AW33,"")</f>
        <v/>
      </c>
      <c r="R28" s="683" t="str">
        <f>IF(AND(ISNUMBER(Validation!AX33),Validation!AC33=Approved),Validation!AX33,"")</f>
        <v/>
      </c>
      <c r="S28" s="684">
        <f>IF(AND(ISNUMBER(Validation!AY33),Validation!AE33=Approved),Validation!AY33,"")</f>
        <v>0</v>
      </c>
      <c r="T28" s="683">
        <f>IF(AND(ISNUMBER(Validation!AZ33),Validation!AG33=Approved),Validation!AZ33,"")</f>
        <v>0</v>
      </c>
      <c r="U28" s="684">
        <f>IF(AND(ISNUMBER(Validation!BA33),Validation!AI33=Approved),Validation!BA33,"")</f>
        <v>0</v>
      </c>
      <c r="V28" s="683">
        <f>IF(AND(ISNUMBER(Validation!BB33),Validation!AK33=Approved),Validation!BB33,"")</f>
        <v>0</v>
      </c>
    </row>
    <row r="29" spans="2:22">
      <c r="B29" s="903"/>
      <c r="C29" s="873"/>
      <c r="D29" s="672" t="s">
        <v>146</v>
      </c>
      <c r="E29" s="603" t="s">
        <v>147</v>
      </c>
      <c r="F29" s="579">
        <f t="shared" si="0"/>
        <v>1.8372399423606387E-4</v>
      </c>
      <c r="G29" s="684">
        <f>IF(AND(ISNUMBER(Validation!AM34),Validation!G34=Approved),Validation!AM34,"")</f>
        <v>0</v>
      </c>
      <c r="H29" s="683">
        <f>IF(AND(ISNUMBER(Validation!AN34),Validation!I34=Approved),Validation!AN34,"")</f>
        <v>0</v>
      </c>
      <c r="I29" s="684">
        <f>IF(AND(ISNUMBER(Validation!AO34),Validation!K34=Approved),Validation!AO34,"")</f>
        <v>0</v>
      </c>
      <c r="J29" s="683">
        <f>IF(AND(ISNUMBER(Validation!AP34),Validation!M34=Approved),Validation!AP34,"")</f>
        <v>0</v>
      </c>
      <c r="K29" s="684" t="str">
        <f>IF(AND(ISNUMBER(Validation!AQ34),Validation!O34=Approved),Validation!AQ34,"")</f>
        <v/>
      </c>
      <c r="L29" s="683">
        <f>IF(AND(ISNUMBER(Validation!AR34),Validation!Q34=Approved),Validation!AR34,"")</f>
        <v>0</v>
      </c>
      <c r="M29" s="684" t="str">
        <f>IF(AND(ISNUMBER(Validation!AS34),Validation!S34=Approved),Validation!AS34,"")</f>
        <v/>
      </c>
      <c r="N29" s="683">
        <f>IF(AND(ISNUMBER(Validation!AT34),Validation!U34=Approved),Validation!AT34,"")</f>
        <v>0</v>
      </c>
      <c r="O29" s="684" t="str">
        <f>IF(AND(ISNUMBER(Validation!AU34),Validation!W34=Approved),Validation!AU34,"")</f>
        <v/>
      </c>
      <c r="P29" s="683">
        <f>IF(AND(ISNUMBER(Validation!AV34),Validation!Y34=Approved),Validation!AV34,"")</f>
        <v>0</v>
      </c>
      <c r="Q29" s="684" t="str">
        <f>IF(AND(ISNUMBER(Validation!AW34),Validation!AA34=Approved),Validation!AW34,"")</f>
        <v/>
      </c>
      <c r="R29" s="683" t="str">
        <f>IF(AND(ISNUMBER(Validation!AX34),Validation!AC34=Approved),Validation!AX34,"")</f>
        <v/>
      </c>
      <c r="S29" s="684" t="str">
        <f>IF(AND(ISNUMBER(Validation!AY34),Validation!AE34=Approved),Validation!AY34,"")</f>
        <v/>
      </c>
      <c r="T29" s="683" t="str">
        <f>IF(AND(ISNUMBER(Validation!AZ34),Validation!AG34=Approved),Validation!AZ34,"")</f>
        <v/>
      </c>
      <c r="U29" s="684">
        <f>IF(AND(ISNUMBER(Validation!BA34),Validation!AI34=Approved),Validation!BA34,"")</f>
        <v>1.9980698645108825E-3</v>
      </c>
      <c r="V29" s="683">
        <f>IF(AND(ISNUMBER(Validation!BB34),Validation!AK34=Approved),Validation!BB34,"")</f>
        <v>0</v>
      </c>
    </row>
    <row r="30" spans="2:22">
      <c r="B30" s="903"/>
      <c r="C30" s="873"/>
      <c r="D30" s="672" t="s">
        <v>148</v>
      </c>
      <c r="E30" s="603" t="s">
        <v>149</v>
      </c>
      <c r="F30" s="579">
        <f t="shared" si="0"/>
        <v>2.0209639365967025</v>
      </c>
      <c r="G30" s="684">
        <f>IF(AND(ISNUMBER(Validation!AM35),Validation!G35=Approved),Validation!AM35,"")</f>
        <v>0</v>
      </c>
      <c r="H30" s="683">
        <f>IF(AND(ISNUMBER(Validation!AN35),Validation!I35=Approved),Validation!AN35,"")</f>
        <v>0</v>
      </c>
      <c r="I30" s="684">
        <f>IF(AND(ISNUMBER(Validation!AO35),Validation!K35=Approved),Validation!AO35,"")</f>
        <v>0</v>
      </c>
      <c r="J30" s="683">
        <f>IF(AND(ISNUMBER(Validation!AP35),Validation!M35=Approved),Validation!AP35,"")</f>
        <v>0</v>
      </c>
      <c r="K30" s="684" t="str">
        <f>IF(AND(ISNUMBER(Validation!AQ35),Validation!O35=Approved),Validation!AQ35,"")</f>
        <v/>
      </c>
      <c r="L30" s="683">
        <f>IF(AND(ISNUMBER(Validation!AR35),Validation!Q35=Approved),Validation!AR35,"")</f>
        <v>0</v>
      </c>
      <c r="M30" s="684" t="str">
        <f>IF(AND(ISNUMBER(Validation!AS35),Validation!S35=Approved),Validation!AS35,"")</f>
        <v/>
      </c>
      <c r="N30" s="683">
        <f>IF(AND(ISNUMBER(Validation!AT35),Validation!U35=Approved),Validation!AT35,"")</f>
        <v>11.765705023506809</v>
      </c>
      <c r="O30" s="684" t="str">
        <f>IF(AND(ISNUMBER(Validation!AU35),Validation!W35=Approved),Validation!AU35,"")</f>
        <v/>
      </c>
      <c r="P30" s="683">
        <f>IF(AND(ISNUMBER(Validation!AV35),Validation!Y35=Approved),Validation!AV35,"")</f>
        <v>0</v>
      </c>
      <c r="Q30" s="684" t="str">
        <f>IF(AND(ISNUMBER(Validation!AW35),Validation!AA35=Approved),Validation!AW35,"")</f>
        <v/>
      </c>
      <c r="R30" s="683" t="str">
        <f>IF(AND(ISNUMBER(Validation!AX35),Validation!AC35=Approved),Validation!AX35,"")</f>
        <v/>
      </c>
      <c r="S30" s="684" t="str">
        <f>IF(AND(ISNUMBER(Validation!AY35),Validation!AE35=Approved),Validation!AY35,"")</f>
        <v/>
      </c>
      <c r="T30" s="683" t="str">
        <f>IF(AND(ISNUMBER(Validation!AZ35),Validation!AG35=Approved),Validation!AZ35,"")</f>
        <v/>
      </c>
      <c r="U30" s="684">
        <f>IF(AND(ISNUMBER(Validation!BA35),Validation!AI35=Approved),Validation!BA35,"")</f>
        <v>0</v>
      </c>
      <c r="V30" s="683">
        <f>IF(AND(ISNUMBER(Validation!BB35),Validation!AK35=Approved),Validation!BB35,"")</f>
        <v>0</v>
      </c>
    </row>
    <row r="31" spans="2:22">
      <c r="B31" s="903"/>
      <c r="C31" s="873"/>
      <c r="D31" s="672" t="s">
        <v>26</v>
      </c>
      <c r="E31" s="603" t="s">
        <v>150</v>
      </c>
      <c r="F31" s="579">
        <f t="shared" si="0"/>
        <v>2.5763881647911619E-2</v>
      </c>
      <c r="G31" s="684">
        <f>IF(AND(ISNUMBER(Validation!AM36),Validation!G36=Approved),Validation!AM36,"")</f>
        <v>0</v>
      </c>
      <c r="H31" s="683">
        <f>IF(AND(ISNUMBER(Validation!AN36),Validation!I36=Approved),Validation!AN36,"")</f>
        <v>0</v>
      </c>
      <c r="I31" s="684">
        <f>IF(AND(ISNUMBER(Validation!AO36),Validation!K36=Approved),Validation!AO36,"")</f>
        <v>0</v>
      </c>
      <c r="J31" s="683">
        <f>IF(AND(ISNUMBER(Validation!AP36),Validation!M36=Approved),Validation!AP36,"")</f>
        <v>0</v>
      </c>
      <c r="K31" s="684" t="str">
        <f>IF(AND(ISNUMBER(Validation!AQ36),Validation!O36=Approved),Validation!AQ36,"")</f>
        <v/>
      </c>
      <c r="L31" s="683">
        <f>IF(AND(ISNUMBER(Validation!AR36),Validation!Q36=Approved),Validation!AR36,"")</f>
        <v>0</v>
      </c>
      <c r="M31" s="684" t="str">
        <f>IF(AND(ISNUMBER(Validation!AS36),Validation!S36=Approved),Validation!AS36,"")</f>
        <v/>
      </c>
      <c r="N31" s="683">
        <f>IF(AND(ISNUMBER(Validation!AT36),Validation!U36=Approved),Validation!AT36,"")</f>
        <v>0</v>
      </c>
      <c r="O31" s="684" t="str">
        <f>IF(AND(ISNUMBER(Validation!AU36),Validation!W36=Approved),Validation!AU36,"")</f>
        <v/>
      </c>
      <c r="P31" s="683">
        <f>IF(AND(ISNUMBER(Validation!AV36),Validation!Y36=Approved),Validation!AV36,"")</f>
        <v>0</v>
      </c>
      <c r="Q31" s="684" t="str">
        <f>IF(AND(ISNUMBER(Validation!AW36),Validation!AA36=Approved),Validation!AW36,"")</f>
        <v/>
      </c>
      <c r="R31" s="683" t="str">
        <f>IF(AND(ISNUMBER(Validation!AX36),Validation!AC36=Approved),Validation!AX36,"")</f>
        <v/>
      </c>
      <c r="S31" s="684">
        <f>IF(AND(ISNUMBER(Validation!AY36),Validation!AE36=Approved),Validation!AY36,"")</f>
        <v>9.9742611566048245E-2</v>
      </c>
      <c r="T31" s="683">
        <f>IF(AND(ISNUMBER(Validation!AZ36),Validation!AG36=Approved),Validation!AZ36,"")</f>
        <v>0</v>
      </c>
      <c r="U31" s="684">
        <f>IF(AND(ISNUMBER(Validation!BA36),Validation!AI36=Approved),Validation!BA36,"")</f>
        <v>0.16983593848342504</v>
      </c>
      <c r="V31" s="683">
        <f>IF(AND(ISNUMBER(Validation!BB36),Validation!AK36=Approved),Validation!BB36,"")</f>
        <v>7.8834728116760537E-4</v>
      </c>
    </row>
    <row r="32" spans="2:22">
      <c r="B32" s="903"/>
      <c r="C32" s="873"/>
      <c r="D32" s="672" t="s">
        <v>27</v>
      </c>
      <c r="E32" s="603" t="s">
        <v>95</v>
      </c>
      <c r="F32" s="579">
        <f t="shared" si="0"/>
        <v>2325.3135971973165</v>
      </c>
      <c r="G32" s="684">
        <f>IF(AND(ISNUMBER(Validation!AM37),Validation!G37=Approved),Validation!AM37,"")</f>
        <v>0</v>
      </c>
      <c r="H32" s="683">
        <f>IF(AND(ISNUMBER(Validation!AN37),Validation!I37=Approved),Validation!AN37,"")</f>
        <v>1.0448119860831044</v>
      </c>
      <c r="I32" s="684">
        <f>IF(AND(ISNUMBER(Validation!AO37),Validation!K37=Approved),Validation!AO37,"")</f>
        <v>1115.2080119802069</v>
      </c>
      <c r="J32" s="683">
        <f>IF(AND(ISNUMBER(Validation!AP37),Validation!M37=Approved),Validation!AP37,"")</f>
        <v>1607.8086275564237</v>
      </c>
      <c r="K32" s="684" t="str">
        <f>IF(AND(ISNUMBER(Validation!AQ37),Validation!O37=Approved),Validation!AQ37,"")</f>
        <v/>
      </c>
      <c r="L32" s="683">
        <f>IF(AND(ISNUMBER(Validation!AR37),Validation!Q37=Approved),Validation!AR37,"")</f>
        <v>0</v>
      </c>
      <c r="M32" s="684" t="str">
        <f>IF(AND(ISNUMBER(Validation!AS37),Validation!S37=Approved),Validation!AS37,"")</f>
        <v/>
      </c>
      <c r="N32" s="683">
        <f>IF(AND(ISNUMBER(Validation!AT37),Validation!U37=Approved),Validation!AT37,"")</f>
        <v>11690.832355175402</v>
      </c>
      <c r="O32" s="684" t="str">
        <f>IF(AND(ISNUMBER(Validation!AU37),Validation!W37=Approved),Validation!AU37,"")</f>
        <v/>
      </c>
      <c r="P32" s="683">
        <f>IF(AND(ISNUMBER(Validation!AV37),Validation!Y37=Approved),Validation!AV37,"")</f>
        <v>292.84197891380097</v>
      </c>
      <c r="Q32" s="684" t="str">
        <f>IF(AND(ISNUMBER(Validation!AW37),Validation!AA37=Approved),Validation!AW37,"")</f>
        <v/>
      </c>
      <c r="R32" s="683">
        <f>IF(AND(ISNUMBER(Validation!AX37),Validation!AC37=Approved),Validation!AX37,"")</f>
        <v>7362.9820802493186</v>
      </c>
      <c r="S32" s="684">
        <f>IF(AND(ISNUMBER(Validation!AY37),Validation!AE37=Approved),Validation!AY37,"")</f>
        <v>90.585539876133666</v>
      </c>
      <c r="T32" s="683">
        <f>IF(AND(ISNUMBER(Validation!AZ37),Validation!AG37=Approved),Validation!AZ37,"")</f>
        <v>86.168158193109036</v>
      </c>
      <c r="U32" s="684">
        <f>IF(AND(ISNUMBER(Validation!BA37),Validation!AI37=Approved),Validation!BA37,"")</f>
        <v>2308.1143615267652</v>
      </c>
      <c r="V32" s="683">
        <f>IF(AND(ISNUMBER(Validation!BB37),Validation!AK37=Approved),Validation!BB37,"")</f>
        <v>2078.6554973623875</v>
      </c>
    </row>
    <row r="33" spans="2:22">
      <c r="B33" s="903"/>
      <c r="C33" s="873"/>
      <c r="D33" s="672" t="s">
        <v>28</v>
      </c>
      <c r="E33" s="603" t="s">
        <v>96</v>
      </c>
      <c r="F33" s="579">
        <f t="shared" si="0"/>
        <v>0.16334352647587699</v>
      </c>
      <c r="G33" s="684">
        <f>IF(AND(ISNUMBER(Validation!AM38),Validation!G38=Approved),Validation!AM38,"")</f>
        <v>0</v>
      </c>
      <c r="H33" s="683">
        <f>IF(AND(ISNUMBER(Validation!AN38),Validation!I38=Approved),Validation!AN38,"")</f>
        <v>0</v>
      </c>
      <c r="I33" s="684">
        <f>IF(AND(ISNUMBER(Validation!AO38),Validation!K38=Approved),Validation!AO38,"")</f>
        <v>0</v>
      </c>
      <c r="J33" s="683">
        <f>IF(AND(ISNUMBER(Validation!AP38),Validation!M38=Approved),Validation!AP38,"")</f>
        <v>0</v>
      </c>
      <c r="K33" s="684" t="str">
        <f>IF(AND(ISNUMBER(Validation!AQ38),Validation!O38=Approved),Validation!AQ38,"")</f>
        <v/>
      </c>
      <c r="L33" s="683">
        <f>IF(AND(ISNUMBER(Validation!AR38),Validation!Q38=Approved),Validation!AR38,"")</f>
        <v>0</v>
      </c>
      <c r="M33" s="684" t="str">
        <f>IF(AND(ISNUMBER(Validation!AS38),Validation!S38=Approved),Validation!AS38,"")</f>
        <v/>
      </c>
      <c r="N33" s="683">
        <f>IF(AND(ISNUMBER(Validation!AT38),Validation!U38=Approved),Validation!AT38,"")</f>
        <v>0.21392190951830561</v>
      </c>
      <c r="O33" s="684" t="str">
        <f>IF(AND(ISNUMBER(Validation!AU38),Validation!W38=Approved),Validation!AU38,"")</f>
        <v/>
      </c>
      <c r="P33" s="683">
        <f>IF(AND(ISNUMBER(Validation!AV38),Validation!Y38=Approved),Validation!AV38,"")</f>
        <v>1.5526513013905188</v>
      </c>
      <c r="Q33" s="684" t="str">
        <f>IF(AND(ISNUMBER(Validation!AW38),Validation!AA38=Approved),Validation!AW38,"")</f>
        <v/>
      </c>
      <c r="R33" s="683" t="str">
        <f>IF(AND(ISNUMBER(Validation!AX38),Validation!AC38=Approved),Validation!AX38,"")</f>
        <v/>
      </c>
      <c r="S33" s="684">
        <f>IF(AND(ISNUMBER(Validation!AY38),Validation!AE38=Approved),Validation!AY38,"")</f>
        <v>0.10499222270110342</v>
      </c>
      <c r="T33" s="683">
        <f>IF(AND(ISNUMBER(Validation!AZ38),Validation!AG38=Approved),Validation!AZ38,"")</f>
        <v>0.34673222217213867</v>
      </c>
      <c r="U33" s="684">
        <f>IF(AND(ISNUMBER(Validation!BA38),Validation!AI38=Approved),Validation!BA38,"")</f>
        <v>0</v>
      </c>
      <c r="V33" s="683">
        <f>IF(AND(ISNUMBER(Validation!BB38),Validation!AK38=Approved),Validation!BB38,"")</f>
        <v>4.7695010510640123E-2</v>
      </c>
    </row>
    <row r="34" spans="2:22">
      <c r="B34" s="903"/>
      <c r="C34" s="873"/>
      <c r="D34" s="672" t="s">
        <v>29</v>
      </c>
      <c r="E34" s="603" t="s">
        <v>97</v>
      </c>
      <c r="F34" s="579">
        <f t="shared" si="0"/>
        <v>22.884658047782569</v>
      </c>
      <c r="G34" s="684">
        <f>IF(AND(ISNUMBER(Validation!AM39),Validation!G39=Approved),Validation!AM39,"")</f>
        <v>0</v>
      </c>
      <c r="H34" s="683">
        <f>IF(AND(ISNUMBER(Validation!AN39),Validation!I39=Approved),Validation!AN39,"")</f>
        <v>0</v>
      </c>
      <c r="I34" s="684">
        <f>IF(AND(ISNUMBER(Validation!AO39),Validation!K39=Approved),Validation!AO39,"")</f>
        <v>6.433834982833174E-2</v>
      </c>
      <c r="J34" s="683">
        <f>IF(AND(ISNUMBER(Validation!AP39),Validation!M39=Approved),Validation!AP39,"")</f>
        <v>0</v>
      </c>
      <c r="K34" s="684" t="str">
        <f>IF(AND(ISNUMBER(Validation!AQ39),Validation!O39=Approved),Validation!AQ39,"")</f>
        <v/>
      </c>
      <c r="L34" s="683">
        <f>IF(AND(ISNUMBER(Validation!AR39),Validation!Q39=Approved),Validation!AR39,"")</f>
        <v>0</v>
      </c>
      <c r="M34" s="684" t="str">
        <f>IF(AND(ISNUMBER(Validation!AS39),Validation!S39=Approved),Validation!AS39,"")</f>
        <v/>
      </c>
      <c r="N34" s="683">
        <f>IF(AND(ISNUMBER(Validation!AT39),Validation!U39=Approved),Validation!AT39,"")</f>
        <v>170.06791806705297</v>
      </c>
      <c r="O34" s="684" t="str">
        <f>IF(AND(ISNUMBER(Validation!AU39),Validation!W39=Approved),Validation!AU39,"")</f>
        <v/>
      </c>
      <c r="P34" s="683">
        <f>IF(AND(ISNUMBER(Validation!AV39),Validation!Y39=Approved),Validation!AV39,"")</f>
        <v>2.3886943098315672E-2</v>
      </c>
      <c r="Q34" s="684" t="str">
        <f>IF(AND(ISNUMBER(Validation!AW39),Validation!AA39=Approved),Validation!AW39,"")</f>
        <v/>
      </c>
      <c r="R34" s="683" t="str">
        <f>IF(AND(ISNUMBER(Validation!AX39),Validation!AC39=Approved),Validation!AX39,"")</f>
        <v/>
      </c>
      <c r="S34" s="684">
        <f>IF(AND(ISNUMBER(Validation!AY39),Validation!AE39=Approved),Validation!AY39,"")</f>
        <v>12.311388033931388</v>
      </c>
      <c r="T34" s="683">
        <f>IF(AND(ISNUMBER(Validation!AZ39),Validation!AG39=Approved),Validation!AZ39,"")</f>
        <v>0</v>
      </c>
      <c r="U34" s="684">
        <f>IF(AND(ISNUMBER(Validation!BA39),Validation!AI39=Approved),Validation!BA39,"")</f>
        <v>7.2170283506133073</v>
      </c>
      <c r="V34" s="683">
        <f>IF(AND(ISNUMBER(Validation!BB39),Validation!AK39=Approved),Validation!BB39,"")</f>
        <v>0.65038650696327449</v>
      </c>
    </row>
    <row r="35" spans="2:22">
      <c r="B35" s="903"/>
      <c r="C35" s="873"/>
      <c r="D35" s="672" t="s">
        <v>99</v>
      </c>
      <c r="E35" s="603" t="s">
        <v>98</v>
      </c>
      <c r="F35" s="579">
        <f t="shared" si="0"/>
        <v>0.25696693992661307</v>
      </c>
      <c r="G35" s="684">
        <f>IF(AND(ISNUMBER(Validation!AM40),Validation!G40=Approved),Validation!AM40,"")</f>
        <v>0</v>
      </c>
      <c r="H35" s="683">
        <f>IF(AND(ISNUMBER(Validation!AN40),Validation!I40=Approved),Validation!AN40,"")</f>
        <v>0</v>
      </c>
      <c r="I35" s="684">
        <f>IF(AND(ISNUMBER(Validation!AO40),Validation!K40=Approved),Validation!AO40,"")</f>
        <v>0</v>
      </c>
      <c r="J35" s="683">
        <f>IF(AND(ISNUMBER(Validation!AP40),Validation!M40=Approved),Validation!AP40,"")</f>
        <v>0</v>
      </c>
      <c r="K35" s="684" t="str">
        <f>IF(AND(ISNUMBER(Validation!AQ40),Validation!O40=Approved),Validation!AQ40,"")</f>
        <v/>
      </c>
      <c r="L35" s="683">
        <f>IF(AND(ISNUMBER(Validation!AR40),Validation!Q40=Approved),Validation!AR40,"")</f>
        <v>0</v>
      </c>
      <c r="M35" s="684" t="str">
        <f>IF(AND(ISNUMBER(Validation!AS40),Validation!S40=Approved),Validation!AS40,"")</f>
        <v/>
      </c>
      <c r="N35" s="683">
        <f>IF(AND(ISNUMBER(Validation!AT40),Validation!U40=Approved),Validation!AT40,"")</f>
        <v>0</v>
      </c>
      <c r="O35" s="684" t="str">
        <f>IF(AND(ISNUMBER(Validation!AU40),Validation!W40=Approved),Validation!AU40,"")</f>
        <v/>
      </c>
      <c r="P35" s="683">
        <f>IF(AND(ISNUMBER(Validation!AV40),Validation!Y40=Approved),Validation!AV40,"")</f>
        <v>0.56134316281041829</v>
      </c>
      <c r="Q35" s="684" t="str">
        <f>IF(AND(ISNUMBER(Validation!AW40),Validation!AA40=Approved),Validation!AW40,"")</f>
        <v/>
      </c>
      <c r="R35" s="683" t="str">
        <f>IF(AND(ISNUMBER(Validation!AX40),Validation!AC40=Approved),Validation!AX40,"")</f>
        <v/>
      </c>
      <c r="S35" s="684">
        <f>IF(AND(ISNUMBER(Validation!AY40),Validation!AE40=Approved),Validation!AY40,"")</f>
        <v>6.404525584767308E-2</v>
      </c>
      <c r="T35" s="683">
        <f>IF(AND(ISNUMBER(Validation!AZ40),Validation!AG40=Approved),Validation!AZ40,"")</f>
        <v>1.5602949997746241E-2</v>
      </c>
      <c r="U35" s="684">
        <f>IF(AND(ISNUMBER(Validation!BA40),Validation!AI40=Approved),Validation!BA40,"")</f>
        <v>1.8274346980816538</v>
      </c>
      <c r="V35" s="683">
        <f>IF(AND(ISNUMBER(Validation!BB40),Validation!AK40=Approved),Validation!BB40,"")</f>
        <v>1.5668402213206163</v>
      </c>
    </row>
    <row r="36" spans="2:22">
      <c r="B36" s="903"/>
      <c r="C36" s="873"/>
      <c r="D36" s="672" t="s">
        <v>101</v>
      </c>
      <c r="E36" s="603" t="s">
        <v>100</v>
      </c>
      <c r="F36" s="579">
        <f t="shared" si="0"/>
        <v>0.19745418221834776</v>
      </c>
      <c r="G36" s="684">
        <f>IF(AND(ISNUMBER(Validation!AM41),Validation!G41=Approved),Validation!AM41,"")</f>
        <v>0</v>
      </c>
      <c r="H36" s="683">
        <f>IF(AND(ISNUMBER(Validation!AN41),Validation!I41=Approved),Validation!AN41,"")</f>
        <v>0</v>
      </c>
      <c r="I36" s="684">
        <f>IF(AND(ISNUMBER(Validation!AO41),Validation!K41=Approved),Validation!AO41,"")</f>
        <v>0</v>
      </c>
      <c r="J36" s="683">
        <f>IF(AND(ISNUMBER(Validation!AP41),Validation!M41=Approved),Validation!AP41,"")</f>
        <v>0</v>
      </c>
      <c r="K36" s="684" t="str">
        <f>IF(AND(ISNUMBER(Validation!AQ41),Validation!O41=Approved),Validation!AQ41,"")</f>
        <v/>
      </c>
      <c r="L36" s="683">
        <f>IF(AND(ISNUMBER(Validation!AR41),Validation!Q41=Approved),Validation!AR41,"")</f>
        <v>0</v>
      </c>
      <c r="M36" s="684" t="str">
        <f>IF(AND(ISNUMBER(Validation!AS41),Validation!S41=Approved),Validation!AS41,"")</f>
        <v/>
      </c>
      <c r="N36" s="683">
        <f>IF(AND(ISNUMBER(Validation!AT41),Validation!U41=Approved),Validation!AT41,"")</f>
        <v>0</v>
      </c>
      <c r="O36" s="684" t="str">
        <f>IF(AND(ISNUMBER(Validation!AU41),Validation!W41=Approved),Validation!AU41,"")</f>
        <v/>
      </c>
      <c r="P36" s="683">
        <f>IF(AND(ISNUMBER(Validation!AV41),Validation!Y41=Approved),Validation!AV41,"")</f>
        <v>0.31053026027810371</v>
      </c>
      <c r="Q36" s="684" t="str">
        <f>IF(AND(ISNUMBER(Validation!AW41),Validation!AA41=Approved),Validation!AW41,"")</f>
        <v/>
      </c>
      <c r="R36" s="683" t="str">
        <f>IF(AND(ISNUMBER(Validation!AX41),Validation!AC41=Approved),Validation!AX41,"")</f>
        <v/>
      </c>
      <c r="S36" s="684">
        <f>IF(AND(ISNUMBER(Validation!AY41),Validation!AE41=Approved),Validation!AY41,"")</f>
        <v>6.404525584767308E-2</v>
      </c>
      <c r="T36" s="683">
        <f>IF(AND(ISNUMBER(Validation!AZ41),Validation!AG41=Approved),Validation!AZ41,"")</f>
        <v>1.5602949997746241E-2</v>
      </c>
      <c r="U36" s="684">
        <f>IF(AND(ISNUMBER(Validation!BA41),Validation!AI41=Approved),Validation!BA41,"")</f>
        <v>0.40161204276668733</v>
      </c>
      <c r="V36" s="683">
        <f>IF(AND(ISNUMBER(Validation!BB41),Validation!AK41=Approved),Validation!BB41,"")</f>
        <v>2.2310228057043235</v>
      </c>
    </row>
    <row r="37" spans="2:22">
      <c r="B37" s="904"/>
      <c r="C37" s="874"/>
      <c r="D37" s="674" t="s">
        <v>30</v>
      </c>
      <c r="E37" s="615" t="s">
        <v>151</v>
      </c>
      <c r="F37" s="690">
        <f t="shared" si="0"/>
        <v>24.289603601878518</v>
      </c>
      <c r="G37" s="687">
        <f>IF(AND(ISNUMBER(Validation!AM42),Validation!G42=Approved),Validation!AM42,"")</f>
        <v>0</v>
      </c>
      <c r="H37" s="688">
        <f>IF(AND(ISNUMBER(Validation!AN42),Validation!I42=Approved),Validation!AN42,"")</f>
        <v>0</v>
      </c>
      <c r="I37" s="687">
        <f>IF(AND(ISNUMBER(Validation!AO42),Validation!K42=Approved),Validation!AO42,"")</f>
        <v>0</v>
      </c>
      <c r="J37" s="688">
        <f>IF(AND(ISNUMBER(Validation!AP42),Validation!M42=Approved),Validation!AP42,"")</f>
        <v>0</v>
      </c>
      <c r="K37" s="687" t="str">
        <f>IF(AND(ISNUMBER(Validation!AQ42),Validation!O42=Approved),Validation!AQ42,"")</f>
        <v/>
      </c>
      <c r="L37" s="688">
        <f>IF(AND(ISNUMBER(Validation!AR42),Validation!Q42=Approved),Validation!AR42,"")</f>
        <v>0</v>
      </c>
      <c r="M37" s="687" t="str">
        <f>IF(AND(ISNUMBER(Validation!AS42),Validation!S42=Approved),Validation!AS42,"")</f>
        <v/>
      </c>
      <c r="N37" s="688">
        <f>IF(AND(ISNUMBER(Validation!AT42),Validation!U42=Approved),Validation!AT42,"")</f>
        <v>198.09168821395102</v>
      </c>
      <c r="O37" s="687" t="str">
        <f>IF(AND(ISNUMBER(Validation!AU42),Validation!W42=Approved),Validation!AU42,"")</f>
        <v/>
      </c>
      <c r="P37" s="688">
        <f>IF(AND(ISNUMBER(Validation!AV42),Validation!Y42=Approved),Validation!AV42,"")</f>
        <v>7.1123373075234912</v>
      </c>
      <c r="Q37" s="687" t="str">
        <f>IF(AND(ISNUMBER(Validation!AW42),Validation!AA42=Approved),Validation!AW42,"")</f>
        <v/>
      </c>
      <c r="R37" s="688" t="str">
        <f>IF(AND(ISNUMBER(Validation!AX42),Validation!AC42=Approved),Validation!AX42,"")</f>
        <v/>
      </c>
      <c r="S37" s="687">
        <f>IF(AND(ISNUMBER(Validation!AY42),Validation!AE42=Approved),Validation!AY42,"")</f>
        <v>0</v>
      </c>
      <c r="T37" s="688">
        <f>IF(AND(ISNUMBER(Validation!AZ42),Validation!AG42=Approved),Validation!AZ42,"")</f>
        <v>0</v>
      </c>
      <c r="U37" s="687">
        <f>IF(AND(ISNUMBER(Validation!BA42),Validation!AI42=Approved),Validation!BA42,"")</f>
        <v>0.24176645360581678</v>
      </c>
      <c r="V37" s="688">
        <f>IF(AND(ISNUMBER(Validation!BB42),Validation!AK42=Approved),Validation!BB42,"")</f>
        <v>0.56524500059717298</v>
      </c>
    </row>
    <row r="38" spans="2:22">
      <c r="B38" s="607" t="s">
        <v>31</v>
      </c>
      <c r="C38" s="608" t="s">
        <v>32</v>
      </c>
      <c r="D38" s="672" t="s">
        <v>33</v>
      </c>
      <c r="E38" s="603" t="s">
        <v>102</v>
      </c>
      <c r="F38" s="581">
        <f t="shared" si="0"/>
        <v>3.1863519878421824</v>
      </c>
      <c r="G38" s="684">
        <f>IF(AND(ISNUMBER(Validation!AM43),Validation!G43=Approved),Validation!AM43,"")</f>
        <v>0.50798162843644312</v>
      </c>
      <c r="H38" s="683">
        <f>IF(AND(ISNUMBER(Validation!AN43),Validation!I43=Approved),Validation!AN43,"")</f>
        <v>5.4852629269362976E-2</v>
      </c>
      <c r="I38" s="684">
        <f>IF(AND(ISNUMBER(Validation!AO43),Validation!K43=Approved),Validation!AO43,"")</f>
        <v>0.95593242929147626</v>
      </c>
      <c r="J38" s="683">
        <f>IF(AND(ISNUMBER(Validation!AP43),Validation!M43=Approved),Validation!AP43,"")</f>
        <v>0.44142705900146195</v>
      </c>
      <c r="K38" s="684" t="str">
        <f>IF(AND(ISNUMBER(Validation!AQ43),Validation!O43=Approved),Validation!AQ43,"")</f>
        <v/>
      </c>
      <c r="L38" s="683">
        <f>IF(AND(ISNUMBER(Validation!AR43),Validation!Q43=Approved),Validation!AR43,"")</f>
        <v>0</v>
      </c>
      <c r="M38" s="684" t="str">
        <f>IF(AND(ISNUMBER(Validation!AS43),Validation!S43=Approved),Validation!AS43,"")</f>
        <v/>
      </c>
      <c r="N38" s="683">
        <f>IF(AND(ISNUMBER(Validation!AT43),Validation!U43=Approved),Validation!AT43,"")</f>
        <v>8.3429544712139183</v>
      </c>
      <c r="O38" s="684" t="str">
        <f>IF(AND(ISNUMBER(Validation!AU43),Validation!W43=Approved),Validation!AU43,"")</f>
        <v/>
      </c>
      <c r="P38" s="683">
        <f>IF(AND(ISNUMBER(Validation!AV43),Validation!Y43=Approved),Validation!AV43,"")</f>
        <v>0.90173210196141673</v>
      </c>
      <c r="Q38" s="684" t="str">
        <f>IF(AND(ISNUMBER(Validation!AW43),Validation!AA43=Approved),Validation!AW43,"")</f>
        <v/>
      </c>
      <c r="R38" s="683">
        <f>IF(AND(ISNUMBER(Validation!AX43),Validation!AC43=Approved),Validation!AX43,"")</f>
        <v>0.4674717569146864</v>
      </c>
      <c r="S38" s="684">
        <f>IF(AND(ISNUMBER(Validation!AY43),Validation!AE43=Approved),Validation!AY43,"")</f>
        <v>9.8424959171149418</v>
      </c>
      <c r="T38" s="683">
        <f>IF(AND(ISNUMBER(Validation!AZ43),Validation!AG43=Approved),Validation!AZ43,"")</f>
        <v>3.014489939564573</v>
      </c>
      <c r="U38" s="684">
        <f>IF(AND(ISNUMBER(Validation!BA43),Validation!AI43=Approved),Validation!BA43,"")</f>
        <v>0</v>
      </c>
      <c r="V38" s="683">
        <f>IF(AND(ISNUMBER(Validation!BB43),Validation!AK43=Approved),Validation!BB43,"")</f>
        <v>0</v>
      </c>
    </row>
    <row r="39" spans="2:22">
      <c r="B39" s="902" t="s">
        <v>34</v>
      </c>
      <c r="C39" s="872" t="s">
        <v>152</v>
      </c>
      <c r="D39" s="671" t="s">
        <v>35</v>
      </c>
      <c r="E39" s="598" t="s">
        <v>103</v>
      </c>
      <c r="F39" s="581">
        <f t="shared" si="0"/>
        <v>1139.8581612949699</v>
      </c>
      <c r="G39" s="681">
        <f>IF(AND(ISNUMBER(Validation!AM44),Validation!G44=Approved),Validation!AM44,"")</f>
        <v>194.77015805335122</v>
      </c>
      <c r="H39" s="680">
        <f>IF(AND(ISNUMBER(Validation!AN44),Validation!I44=Approved),Validation!AN44,"")</f>
        <v>344.55287271055573</v>
      </c>
      <c r="I39" s="681">
        <f>IF(AND(ISNUMBER(Validation!AO44),Validation!K44=Approved),Validation!AO44,"")</f>
        <v>774.0705086007506</v>
      </c>
      <c r="J39" s="680">
        <f>IF(AND(ISNUMBER(Validation!AP44),Validation!M44=Approved),Validation!AP44,"")</f>
        <v>901.99946493689652</v>
      </c>
      <c r="K39" s="681" t="str">
        <f>IF(AND(ISNUMBER(Validation!AQ44),Validation!O44=Approved),Validation!AQ44,"")</f>
        <v/>
      </c>
      <c r="L39" s="680">
        <f>IF(AND(ISNUMBER(Validation!AR44),Validation!Q44=Approved),Validation!AR44,"")</f>
        <v>355.15632857092601</v>
      </c>
      <c r="M39" s="681" t="str">
        <f>IF(AND(ISNUMBER(Validation!AS44),Validation!S44=Approved),Validation!AS44,"")</f>
        <v/>
      </c>
      <c r="N39" s="680">
        <f>IF(AND(ISNUMBER(Validation!AT44),Validation!U44=Approved),Validation!AT44,"")</f>
        <v>2386.0849787671809</v>
      </c>
      <c r="O39" s="681" t="str">
        <f>IF(AND(ISNUMBER(Validation!AU44),Validation!W44=Approved),Validation!AU44,"")</f>
        <v/>
      </c>
      <c r="P39" s="680">
        <f>IF(AND(ISNUMBER(Validation!AV44),Validation!Y44=Approved),Validation!AV44,"")</f>
        <v>1335.5249603626039</v>
      </c>
      <c r="Q39" s="681" t="str">
        <f>IF(AND(ISNUMBER(Validation!AW44),Validation!AA44=Approved),Validation!AW44,"")</f>
        <v/>
      </c>
      <c r="R39" s="680" t="str">
        <f>IF(AND(ISNUMBER(Validation!AX44),Validation!AC44=Approved),Validation!AX44,"")</f>
        <v/>
      </c>
      <c r="S39" s="681">
        <f>IF(AND(ISNUMBER(Validation!AY44),Validation!AE44=Approved),Validation!AY44,"")</f>
        <v>1500.9439675756014</v>
      </c>
      <c r="T39" s="680">
        <f>IF(AND(ISNUMBER(Validation!AZ44),Validation!AG44=Approved),Validation!AZ44,"")</f>
        <v>1453.2816471167478</v>
      </c>
      <c r="U39" s="681">
        <f>IF(AND(ISNUMBER(Validation!BA44),Validation!AI44=Approved),Validation!BA44,"")</f>
        <v>216.38975949233046</v>
      </c>
      <c r="V39" s="680">
        <f>IF(AND(ISNUMBER(Validation!BB44),Validation!AK44=Approved),Validation!BB44,"")</f>
        <v>197.66858116803897</v>
      </c>
    </row>
    <row r="40" spans="2:22">
      <c r="B40" s="904"/>
      <c r="C40" s="874"/>
      <c r="D40" s="674" t="s">
        <v>105</v>
      </c>
      <c r="E40" s="615" t="s">
        <v>104</v>
      </c>
      <c r="F40" s="579">
        <f t="shared" si="0"/>
        <v>123.82844792166688</v>
      </c>
      <c r="G40" s="687">
        <f>IF(AND(ISNUMBER(Validation!AM45),Validation!G45=Approved),Validation!AM45,"")</f>
        <v>2.3161856633371496</v>
      </c>
      <c r="H40" s="688">
        <f>IF(AND(ISNUMBER(Validation!AN45),Validation!I45=Approved),Validation!AN45,"")</f>
        <v>15.672179791246565</v>
      </c>
      <c r="I40" s="687">
        <f>IF(AND(ISNUMBER(Validation!AO45),Validation!K45=Approved),Validation!AO45,"")</f>
        <v>144.57322950342711</v>
      </c>
      <c r="J40" s="688">
        <f>IF(AND(ISNUMBER(Validation!AP45),Validation!M45=Approved),Validation!AP45,"")</f>
        <v>148.20486154570048</v>
      </c>
      <c r="K40" s="687" t="str">
        <f>IF(AND(ISNUMBER(Validation!AQ45),Validation!O45=Approved),Validation!AQ45,"")</f>
        <v/>
      </c>
      <c r="L40" s="688">
        <f>IF(AND(ISNUMBER(Validation!AR45),Validation!Q45=Approved),Validation!AR45,"")</f>
        <v>8.4842900714165648</v>
      </c>
      <c r="M40" s="687" t="str">
        <f>IF(AND(ISNUMBER(Validation!AS45),Validation!S45=Approved),Validation!AS45,"")</f>
        <v/>
      </c>
      <c r="N40" s="688">
        <f>IF(AND(ISNUMBER(Validation!AT45),Validation!U45=Approved),Validation!AT45,"")</f>
        <v>188.46520228562724</v>
      </c>
      <c r="O40" s="687" t="str">
        <f>IF(AND(ISNUMBER(Validation!AU45),Validation!W45=Approved),Validation!AU45,"")</f>
        <v/>
      </c>
      <c r="P40" s="688">
        <f>IF(AND(ISNUMBER(Validation!AV45),Validation!Y45=Approved),Validation!AV45,"")</f>
        <v>264.01043859413397</v>
      </c>
      <c r="Q40" s="687" t="str">
        <f>IF(AND(ISNUMBER(Validation!AW45),Validation!AA45=Approved),Validation!AW45,"")</f>
        <v/>
      </c>
      <c r="R40" s="688" t="str">
        <f>IF(AND(ISNUMBER(Validation!AX45),Validation!AC45=Approved),Validation!AX45,"")</f>
        <v/>
      </c>
      <c r="S40" s="687">
        <f>IF(AND(ISNUMBER(Validation!AY45),Validation!AE45=Approved),Validation!AY45,"")</f>
        <v>23.622900133672598</v>
      </c>
      <c r="T40" s="688">
        <f>IF(AND(ISNUMBER(Validation!AZ45),Validation!AG45=Approved),Validation!AZ45,"")</f>
        <v>54.104269313851603</v>
      </c>
      <c r="U40" s="687">
        <f>IF(AND(ISNUMBER(Validation!BA45),Validation!AI45=Approved),Validation!BA45,"")</f>
        <v>143.81866317137641</v>
      </c>
      <c r="V40" s="688">
        <f>IF(AND(ISNUMBER(Validation!BB45),Validation!AK45=Approved),Validation!BB45,"")</f>
        <v>190.42094000164775</v>
      </c>
    </row>
    <row r="41" spans="2:22">
      <c r="B41" s="902" t="s">
        <v>37</v>
      </c>
      <c r="C41" s="872" t="s">
        <v>153</v>
      </c>
      <c r="D41" s="672" t="s">
        <v>38</v>
      </c>
      <c r="E41" s="603" t="s">
        <v>106</v>
      </c>
      <c r="F41" s="581">
        <f t="shared" ref="F41:F72" si="1">IFERROR(SUMPRODUCT(G41:V41,$G$4:$V$4)/SUMPRODUCT(--ISNUMBER(G41:V41),$G$4:$V$4),"")</f>
        <v>37.811094154841953</v>
      </c>
      <c r="G41" s="684">
        <f>IF(AND(ISNUMBER(Validation!AM46),Validation!G46=Approved),Validation!AM46,"")</f>
        <v>0</v>
      </c>
      <c r="H41" s="683">
        <f>IF(AND(ISNUMBER(Validation!AN46),Validation!I46=Approved),Validation!AN46,"")</f>
        <v>0</v>
      </c>
      <c r="I41" s="684">
        <f>IF(AND(ISNUMBER(Validation!AO46),Validation!K46=Approved),Validation!AO46,"")</f>
        <v>0</v>
      </c>
      <c r="J41" s="683">
        <f>IF(AND(ISNUMBER(Validation!AP46),Validation!M46=Approved),Validation!AP46,"")</f>
        <v>0</v>
      </c>
      <c r="K41" s="684" t="str">
        <f>IF(AND(ISNUMBER(Validation!AQ46),Validation!O46=Approved),Validation!AQ46,"")</f>
        <v/>
      </c>
      <c r="L41" s="683">
        <f>IF(AND(ISNUMBER(Validation!AR46),Validation!Q46=Approved),Validation!AR46,"")</f>
        <v>0</v>
      </c>
      <c r="M41" s="684" t="str">
        <f>IF(AND(ISNUMBER(Validation!AS46),Validation!S46=Approved),Validation!AS46,"")</f>
        <v/>
      </c>
      <c r="N41" s="683">
        <f>IF(AND(ISNUMBER(Validation!AT46),Validation!U46=Approved),Validation!AT46,"")</f>
        <v>31.018676880154313</v>
      </c>
      <c r="O41" s="684" t="str">
        <f>IF(AND(ISNUMBER(Validation!AU46),Validation!W46=Approved),Validation!AU46,"")</f>
        <v/>
      </c>
      <c r="P41" s="683">
        <f>IF(AND(ISNUMBER(Validation!AV46),Validation!Y46=Approved),Validation!AV46,"")</f>
        <v>3.7562218022101392</v>
      </c>
      <c r="Q41" s="684" t="str">
        <f>IF(AND(ISNUMBER(Validation!AW46),Validation!AA46=Approved),Validation!AW46,"")</f>
        <v/>
      </c>
      <c r="R41" s="683" t="str">
        <f>IF(AND(ISNUMBER(Validation!AX46),Validation!AC46=Approved),Validation!AX46,"")</f>
        <v/>
      </c>
      <c r="S41" s="684">
        <f>IF(AND(ISNUMBER(Validation!AY46),Validation!AE46=Approved),Validation!AY46,"")</f>
        <v>138.68807668071977</v>
      </c>
      <c r="T41" s="683">
        <f>IF(AND(ISNUMBER(Validation!AZ46),Validation!AG46=Approved),Validation!AZ46,"")</f>
        <v>87.169347484631089</v>
      </c>
      <c r="U41" s="684">
        <f>IF(AND(ISNUMBER(Validation!BA46),Validation!AI46=Approved),Validation!BA46,"")</f>
        <v>1.4462029679329766</v>
      </c>
      <c r="V41" s="683">
        <f>IF(AND(ISNUMBER(Validation!BB46),Validation!AK46=Approved),Validation!BB46,"")</f>
        <v>5.0935236088331148</v>
      </c>
    </row>
    <row r="42" spans="2:22">
      <c r="B42" s="903"/>
      <c r="C42" s="873"/>
      <c r="D42" s="672" t="s">
        <v>39</v>
      </c>
      <c r="E42" s="603" t="s">
        <v>107</v>
      </c>
      <c r="F42" s="579">
        <f t="shared" si="1"/>
        <v>383.66391317372495</v>
      </c>
      <c r="G42" s="684">
        <f>IF(AND(ISNUMBER(Validation!AM47),Validation!G47=Approved),Validation!AM47,"")</f>
        <v>106.72878255491071</v>
      </c>
      <c r="H42" s="683">
        <f>IF(AND(ISNUMBER(Validation!AN47),Validation!I47=Approved),Validation!AN47,"")</f>
        <v>62.505877067421714</v>
      </c>
      <c r="I42" s="684">
        <f>IF(AND(ISNUMBER(Validation!AO47),Validation!K47=Approved),Validation!AO47,"")</f>
        <v>178.92595130006774</v>
      </c>
      <c r="J42" s="683">
        <f>IF(AND(ISNUMBER(Validation!AP47),Validation!M47=Approved),Validation!AP47,"")</f>
        <v>427.16023056110947</v>
      </c>
      <c r="K42" s="684" t="str">
        <f>IF(AND(ISNUMBER(Validation!AQ47),Validation!O47=Approved),Validation!AQ47,"")</f>
        <v/>
      </c>
      <c r="L42" s="683">
        <f>IF(AND(ISNUMBER(Validation!AR47),Validation!Q47=Approved),Validation!AR47,"")</f>
        <v>68.367593249903265</v>
      </c>
      <c r="M42" s="684" t="str">
        <f>IF(AND(ISNUMBER(Validation!AS47),Validation!S47=Approved),Validation!AS47,"")</f>
        <v/>
      </c>
      <c r="N42" s="683">
        <f>IF(AND(ISNUMBER(Validation!AT47),Validation!U47=Approved),Validation!AT47,"")</f>
        <v>427.84381903661125</v>
      </c>
      <c r="O42" s="684" t="str">
        <f>IF(AND(ISNUMBER(Validation!AU47),Validation!W47=Approved),Validation!AU47,"")</f>
        <v/>
      </c>
      <c r="P42" s="683">
        <f>IF(AND(ISNUMBER(Validation!AV47),Validation!Y47=Approved),Validation!AV47,"")</f>
        <v>166.84432580596038</v>
      </c>
      <c r="Q42" s="684" t="str">
        <f>IF(AND(ISNUMBER(Validation!AW47),Validation!AA47=Approved),Validation!AW47,"")</f>
        <v/>
      </c>
      <c r="R42" s="683">
        <f>IF(AND(ISNUMBER(Validation!AX47),Validation!AC47=Approved),Validation!AX47,"")</f>
        <v>392.8126217374367</v>
      </c>
      <c r="S42" s="684">
        <f>IF(AND(ISNUMBER(Validation!AY47),Validation!AE47=Approved),Validation!AY47,"")</f>
        <v>371.88315275545932</v>
      </c>
      <c r="T42" s="683">
        <f>IF(AND(ISNUMBER(Validation!AZ47),Validation!AG47=Approved),Validation!AZ47,"")</f>
        <v>209.58454545139335</v>
      </c>
      <c r="U42" s="684">
        <f>IF(AND(ISNUMBER(Validation!BA47),Validation!AI47=Approved),Validation!BA47,"")</f>
        <v>845.98979385913242</v>
      </c>
      <c r="V42" s="683">
        <f>IF(AND(ISNUMBER(Validation!BB47),Validation!AK47=Approved),Validation!BB47,"")</f>
        <v>998.14445793832056</v>
      </c>
    </row>
    <row r="43" spans="2:22">
      <c r="B43" s="903"/>
      <c r="C43" s="873"/>
      <c r="D43" s="672" t="s">
        <v>40</v>
      </c>
      <c r="E43" s="603" t="s">
        <v>108</v>
      </c>
      <c r="F43" s="579">
        <f t="shared" si="1"/>
        <v>28.181762911694058</v>
      </c>
      <c r="G43" s="684">
        <f>IF(AND(ISNUMBER(Validation!AM48),Validation!G48=Approved),Validation!AM48,"")</f>
        <v>5.0271757011067679</v>
      </c>
      <c r="H43" s="683">
        <f>IF(AND(ISNUMBER(Validation!AN48),Validation!I48=Approved),Validation!AN48,"")</f>
        <v>1.6978194773850446</v>
      </c>
      <c r="I43" s="684">
        <f>IF(AND(ISNUMBER(Validation!AO48),Validation!K48=Approved),Validation!AO48,"")</f>
        <v>13.971390970742508</v>
      </c>
      <c r="J43" s="683">
        <f>IF(AND(ISNUMBER(Validation!AP48),Validation!M48=Approved),Validation!AP48,"")</f>
        <v>15.141936242795019</v>
      </c>
      <c r="K43" s="684" t="str">
        <f>IF(AND(ISNUMBER(Validation!AQ48),Validation!O48=Approved),Validation!AQ48,"")</f>
        <v/>
      </c>
      <c r="L43" s="683">
        <f>IF(AND(ISNUMBER(Validation!AR48),Validation!Q48=Approved),Validation!AR48,"")</f>
        <v>8.7802536785590029</v>
      </c>
      <c r="M43" s="684" t="str">
        <f>IF(AND(ISNUMBER(Validation!AS48),Validation!S48=Approved),Validation!AS48,"")</f>
        <v/>
      </c>
      <c r="N43" s="683">
        <f>IF(AND(ISNUMBER(Validation!AT48),Validation!U48=Approved),Validation!AT48,"")</f>
        <v>83.643466621657495</v>
      </c>
      <c r="O43" s="684" t="str">
        <f>IF(AND(ISNUMBER(Validation!AU48),Validation!W48=Approved),Validation!AU48,"")</f>
        <v/>
      </c>
      <c r="P43" s="683">
        <f>IF(AND(ISNUMBER(Validation!AV48),Validation!Y48=Approved),Validation!AV48,"")</f>
        <v>55.728238248370459</v>
      </c>
      <c r="Q43" s="684" t="str">
        <f>IF(AND(ISNUMBER(Validation!AW48),Validation!AA48=Approved),Validation!AW48,"")</f>
        <v/>
      </c>
      <c r="R43" s="683">
        <f>IF(AND(ISNUMBER(Validation!AX48),Validation!AC48=Approved),Validation!AX48,"")</f>
        <v>85.237631476431616</v>
      </c>
      <c r="S43" s="684">
        <f>IF(AND(ISNUMBER(Validation!AY48),Validation!AE48=Approved),Validation!AY48,"")</f>
        <v>16.785106643225404</v>
      </c>
      <c r="T43" s="683">
        <f>IF(AND(ISNUMBER(Validation!AZ48),Validation!AG48=Approved),Validation!AZ48,"")</f>
        <v>14.259362636829204</v>
      </c>
      <c r="U43" s="684">
        <f>IF(AND(ISNUMBER(Validation!BA48),Validation!AI48=Approved),Validation!BA48,"")</f>
        <v>46.416361794506486</v>
      </c>
      <c r="V43" s="683">
        <f>IF(AND(ISNUMBER(Validation!BB48),Validation!AK48=Approved),Validation!BB48,"")</f>
        <v>24.502621845970339</v>
      </c>
    </row>
    <row r="44" spans="2:22">
      <c r="B44" s="904"/>
      <c r="C44" s="874"/>
      <c r="D44" s="672" t="s">
        <v>41</v>
      </c>
      <c r="E44" s="603" t="s">
        <v>109</v>
      </c>
      <c r="F44" s="690">
        <f t="shared" si="1"/>
        <v>353.68347921452983</v>
      </c>
      <c r="G44" s="684">
        <f>IF(AND(ISNUMBER(Validation!AM49),Validation!G49=Approved),Validation!AM49,"")</f>
        <v>0</v>
      </c>
      <c r="H44" s="683">
        <f>IF(AND(ISNUMBER(Validation!AN49),Validation!I49=Approved),Validation!AN49,"")</f>
        <v>0</v>
      </c>
      <c r="I44" s="684">
        <f>IF(AND(ISNUMBER(Validation!AO49),Validation!K49=Approved),Validation!AO49,"")</f>
        <v>51.702162472889874</v>
      </c>
      <c r="J44" s="683">
        <f>IF(AND(ISNUMBER(Validation!AP49),Validation!M49=Approved),Validation!AP49,"")</f>
        <v>50.955148133832978</v>
      </c>
      <c r="K44" s="684" t="str">
        <f>IF(AND(ISNUMBER(Validation!AQ49),Validation!O49=Approved),Validation!AQ49,"")</f>
        <v/>
      </c>
      <c r="L44" s="683">
        <f>IF(AND(ISNUMBER(Validation!AR49),Validation!Q49=Approved),Validation!AR49,"")</f>
        <v>0</v>
      </c>
      <c r="M44" s="684" t="str">
        <f>IF(AND(ISNUMBER(Validation!AS49),Validation!S49=Approved),Validation!AS49,"")</f>
        <v/>
      </c>
      <c r="N44" s="683">
        <f>IF(AND(ISNUMBER(Validation!AT49),Validation!U49=Approved),Validation!AT49,"")</f>
        <v>2394.8557770574316</v>
      </c>
      <c r="O44" s="684" t="str">
        <f>IF(AND(ISNUMBER(Validation!AU49),Validation!W49=Approved),Validation!AU49,"")</f>
        <v/>
      </c>
      <c r="P44" s="683">
        <f>IF(AND(ISNUMBER(Validation!AV49),Validation!Y49=Approved),Validation!AV49,"")</f>
        <v>15.765382444888344</v>
      </c>
      <c r="Q44" s="684" t="str">
        <f>IF(AND(ISNUMBER(Validation!AW49),Validation!AA49=Approved),Validation!AW49,"")</f>
        <v/>
      </c>
      <c r="R44" s="683" t="str">
        <f>IF(AND(ISNUMBER(Validation!AX49),Validation!AC49=Approved),Validation!AX49,"")</f>
        <v/>
      </c>
      <c r="S44" s="684">
        <f>IF(AND(ISNUMBER(Validation!AY49),Validation!AE49=Approved),Validation!AY49,"")</f>
        <v>134.38164567959626</v>
      </c>
      <c r="T44" s="683">
        <f>IF(AND(ISNUMBER(Validation!AZ49),Validation!AG49=Approved),Validation!AZ49,"")</f>
        <v>162.37678003654557</v>
      </c>
      <c r="U44" s="684">
        <f>IF(AND(ISNUMBER(Validation!BA49),Validation!AI49=Approved),Validation!BA49,"")</f>
        <v>0</v>
      </c>
      <c r="V44" s="683">
        <f>IF(AND(ISNUMBER(Validation!BB49),Validation!AK49=Approved),Validation!BB49,"")</f>
        <v>0</v>
      </c>
    </row>
    <row r="45" spans="2:22">
      <c r="B45" s="902" t="s">
        <v>42</v>
      </c>
      <c r="C45" s="872" t="s">
        <v>154</v>
      </c>
      <c r="D45" s="671" t="s">
        <v>43</v>
      </c>
      <c r="E45" s="598" t="s">
        <v>110</v>
      </c>
      <c r="F45" s="581">
        <f t="shared" si="1"/>
        <v>70.814514290749671</v>
      </c>
      <c r="G45" s="681">
        <f>IF(AND(ISNUMBER(Validation!AM50),Validation!G50=Approved),Validation!AM50,"")</f>
        <v>37.453774987826868</v>
      </c>
      <c r="H45" s="680">
        <f>IF(AND(ISNUMBER(Validation!AN50),Validation!I50=Approved),Validation!AN50,"")</f>
        <v>23.194826091044916</v>
      </c>
      <c r="I45" s="681">
        <f>IF(AND(ISNUMBER(Validation!AO50),Validation!K50=Approved),Validation!AO50,"")</f>
        <v>15.015934238892225</v>
      </c>
      <c r="J45" s="680">
        <f>IF(AND(ISNUMBER(Validation!AP50),Validation!M50=Approved),Validation!AP50,"")</f>
        <v>46.743729107499959</v>
      </c>
      <c r="K45" s="681" t="str">
        <f>IF(AND(ISNUMBER(Validation!AQ50),Validation!O50=Approved),Validation!AQ50,"")</f>
        <v/>
      </c>
      <c r="L45" s="680">
        <f>IF(AND(ISNUMBER(Validation!AR50),Validation!Q50=Approved),Validation!AR50,"")</f>
        <v>0</v>
      </c>
      <c r="M45" s="681" t="str">
        <f>IF(AND(ISNUMBER(Validation!AS50),Validation!S50=Approved),Validation!AS50,"")</f>
        <v/>
      </c>
      <c r="N45" s="680">
        <f>IF(AND(ISNUMBER(Validation!AT50),Validation!U50=Approved),Validation!AT50,"")</f>
        <v>335.21563221518488</v>
      </c>
      <c r="O45" s="681" t="str">
        <f>IF(AND(ISNUMBER(Validation!AU50),Validation!W50=Approved),Validation!AU50,"")</f>
        <v/>
      </c>
      <c r="P45" s="680">
        <f>IF(AND(ISNUMBER(Validation!AV50),Validation!Y50=Approved),Validation!AV50,"")</f>
        <v>12.98255357393457</v>
      </c>
      <c r="Q45" s="681" t="str">
        <f>IF(AND(ISNUMBER(Validation!AW50),Validation!AA50=Approved),Validation!AW50,"")</f>
        <v/>
      </c>
      <c r="R45" s="680" t="str">
        <f>IF(AND(ISNUMBER(Validation!AX50),Validation!AC50=Approved),Validation!AX50,"")</f>
        <v/>
      </c>
      <c r="S45" s="681">
        <f>IF(AND(ISNUMBER(Validation!AY50),Validation!AE50=Approved),Validation!AY50,"")</f>
        <v>61.9986074531529</v>
      </c>
      <c r="T45" s="680">
        <f>IF(AND(ISNUMBER(Validation!AZ50),Validation!AG50=Approved),Validation!AZ50,"")</f>
        <v>54.647425339884258</v>
      </c>
      <c r="U45" s="681">
        <f>IF(AND(ISNUMBER(Validation!BA50),Validation!AI50=Approved),Validation!BA50,"")</f>
        <v>0</v>
      </c>
      <c r="V45" s="680">
        <f>IF(AND(ISNUMBER(Validation!BB50),Validation!AK50=Approved),Validation!BB50,"")</f>
        <v>0.16752379724811617</v>
      </c>
    </row>
    <row r="46" spans="2:22">
      <c r="B46" s="903"/>
      <c r="C46" s="873"/>
      <c r="D46" s="672" t="s">
        <v>44</v>
      </c>
      <c r="E46" s="603" t="s">
        <v>111</v>
      </c>
      <c r="F46" s="579">
        <f t="shared" si="1"/>
        <v>17.458767775818568</v>
      </c>
      <c r="G46" s="684">
        <f>IF(AND(ISNUMBER(Validation!AM51),Validation!G51=Approved),Validation!AM51,"")</f>
        <v>0</v>
      </c>
      <c r="H46" s="683">
        <f>IF(AND(ISNUMBER(Validation!AN51),Validation!I51=Approved),Validation!AN51,"")</f>
        <v>0</v>
      </c>
      <c r="I46" s="684">
        <f>IF(AND(ISNUMBER(Validation!AO51),Validation!K51=Approved),Validation!AO51,"")</f>
        <v>0.20364780835136162</v>
      </c>
      <c r="J46" s="683">
        <f>IF(AND(ISNUMBER(Validation!AP51),Validation!M51=Approved),Validation!AP51,"")</f>
        <v>0.67342396692826068</v>
      </c>
      <c r="K46" s="684" t="str">
        <f>IF(AND(ISNUMBER(Validation!AQ51),Validation!O51=Approved),Validation!AQ51,"")</f>
        <v/>
      </c>
      <c r="L46" s="683">
        <f>IF(AND(ISNUMBER(Validation!AR51),Validation!Q51=Approved),Validation!AR51,"")</f>
        <v>0</v>
      </c>
      <c r="M46" s="684" t="str">
        <f>IF(AND(ISNUMBER(Validation!AS51),Validation!S51=Approved),Validation!AS51,"")</f>
        <v/>
      </c>
      <c r="N46" s="683">
        <f>IF(AND(ISNUMBER(Validation!AT51),Validation!U51=Approved),Validation!AT51,"")</f>
        <v>10.910017385433587</v>
      </c>
      <c r="O46" s="684" t="str">
        <f>IF(AND(ISNUMBER(Validation!AU51),Validation!W51=Approved),Validation!AU51,"")</f>
        <v/>
      </c>
      <c r="P46" s="683">
        <f>IF(AND(ISNUMBER(Validation!AV51),Validation!Y51=Approved),Validation!AV51,"")</f>
        <v>32.426525255963526</v>
      </c>
      <c r="Q46" s="684" t="str">
        <f>IF(AND(ISNUMBER(Validation!AW51),Validation!AA51=Approved),Validation!AW51,"")</f>
        <v/>
      </c>
      <c r="R46" s="683" t="str">
        <f>IF(AND(ISNUMBER(Validation!AX51),Validation!AC51=Approved),Validation!AX51,"")</f>
        <v/>
      </c>
      <c r="S46" s="684">
        <f>IF(AND(ISNUMBER(Validation!AY51),Validation!AE51=Approved),Validation!AY51,"")</f>
        <v>0.92550644311022656</v>
      </c>
      <c r="T46" s="683">
        <f>IF(AND(ISNUMBER(Validation!AZ51),Validation!AG51=Approved),Validation!AZ51,"")</f>
        <v>1.3912630414657063</v>
      </c>
      <c r="U46" s="684">
        <f>IF(AND(ISNUMBER(Validation!BA51),Validation!AI51=Approved),Validation!BA51,"")</f>
        <v>94.884341725892781</v>
      </c>
      <c r="V46" s="683">
        <f>IF(AND(ISNUMBER(Validation!BB51),Validation!AK51=Approved),Validation!BB51,"")</f>
        <v>123.39427257816756</v>
      </c>
    </row>
    <row r="47" spans="2:22">
      <c r="B47" s="904"/>
      <c r="C47" s="874"/>
      <c r="D47" s="674" t="s">
        <v>45</v>
      </c>
      <c r="E47" s="615" t="s">
        <v>155</v>
      </c>
      <c r="F47" s="579">
        <f t="shared" si="1"/>
        <v>14.718851318499592</v>
      </c>
      <c r="G47" s="687">
        <f>IF(AND(ISNUMBER(Validation!AM52),Validation!G52=Approved),Validation!AM52,"")</f>
        <v>0</v>
      </c>
      <c r="H47" s="688">
        <f>IF(AND(ISNUMBER(Validation!AN52),Validation!I52=Approved),Validation!AN52,"")</f>
        <v>0</v>
      </c>
      <c r="I47" s="687">
        <f>IF(AND(ISNUMBER(Validation!AO52),Validation!K52=Approved),Validation!AO52,"")</f>
        <v>0.85062070930931222</v>
      </c>
      <c r="J47" s="688">
        <f>IF(AND(ISNUMBER(Validation!AP52),Validation!M52=Approved),Validation!AP52,"")</f>
        <v>0.33878367250911656</v>
      </c>
      <c r="K47" s="687" t="str">
        <f>IF(AND(ISNUMBER(Validation!AQ52),Validation!O52=Approved),Validation!AQ52,"")</f>
        <v/>
      </c>
      <c r="L47" s="688">
        <f>IF(AND(ISNUMBER(Validation!AR52),Validation!Q52=Approved),Validation!AR52,"")</f>
        <v>0</v>
      </c>
      <c r="M47" s="687" t="str">
        <f>IF(AND(ISNUMBER(Validation!AS52),Validation!S52=Approved),Validation!AS52,"")</f>
        <v/>
      </c>
      <c r="N47" s="688">
        <f>IF(AND(ISNUMBER(Validation!AT52),Validation!U52=Approved),Validation!AT52,"")</f>
        <v>44.067913360770959</v>
      </c>
      <c r="O47" s="687" t="str">
        <f>IF(AND(ISNUMBER(Validation!AU52),Validation!W52=Approved),Validation!AU52,"")</f>
        <v/>
      </c>
      <c r="P47" s="688">
        <f>IF(AND(ISNUMBER(Validation!AV52),Validation!Y52=Approved),Validation!AV52,"")</f>
        <v>181.37355894551089</v>
      </c>
      <c r="Q47" s="687" t="str">
        <f>IF(AND(ISNUMBER(Validation!AW52),Validation!AA52=Approved),Validation!AW52,"")</f>
        <v/>
      </c>
      <c r="R47" s="688" t="str">
        <f>IF(AND(ISNUMBER(Validation!AX52),Validation!AC52=Approved),Validation!AX52,"")</f>
        <v/>
      </c>
      <c r="S47" s="687">
        <f>IF(AND(ISNUMBER(Validation!AY52),Validation!AE52=Approved),Validation!AY52,"")</f>
        <v>0.59390600641257496</v>
      </c>
      <c r="T47" s="688">
        <f>IF(AND(ISNUMBER(Validation!AZ52),Validation!AG52=Approved),Validation!AZ52,"")</f>
        <v>4.864653077075106</v>
      </c>
      <c r="U47" s="687">
        <f>IF(AND(ISNUMBER(Validation!BA52),Validation!AI52=Approved),Validation!BA52,"")</f>
        <v>5.9022983797651465</v>
      </c>
      <c r="V47" s="688">
        <f>IF(AND(ISNUMBER(Validation!BB52),Validation!AK52=Approved),Validation!BB52,"")</f>
        <v>1.9078004204256049</v>
      </c>
    </row>
    <row r="48" spans="2:22">
      <c r="B48" s="902" t="s">
        <v>46</v>
      </c>
      <c r="C48" s="872" t="s">
        <v>156</v>
      </c>
      <c r="D48" s="672" t="s">
        <v>47</v>
      </c>
      <c r="E48" s="603" t="s">
        <v>112</v>
      </c>
      <c r="F48" s="581">
        <f t="shared" si="1"/>
        <v>6138.4465532488484</v>
      </c>
      <c r="G48" s="684">
        <f>IF(AND(ISNUMBER(Validation!AM53),Validation!G53=Approved),Validation!AM53,"")</f>
        <v>1905.5891139273824</v>
      </c>
      <c r="H48" s="683">
        <f>IF(AND(ISNUMBER(Validation!AN53),Validation!I53=Approved),Validation!AN53,"")</f>
        <v>2053.0555526532999</v>
      </c>
      <c r="I48" s="684">
        <f>IF(AND(ISNUMBER(Validation!AO53),Validation!K53=Approved),Validation!AO53,"")</f>
        <v>2056.5969523397794</v>
      </c>
      <c r="J48" s="683">
        <f>IF(AND(ISNUMBER(Validation!AP53),Validation!M53=Approved),Validation!AP53,"")</f>
        <v>1917.7705248794298</v>
      </c>
      <c r="K48" s="684" t="str">
        <f>IF(AND(ISNUMBER(Validation!AQ53),Validation!O53=Approved),Validation!AQ53,"")</f>
        <v/>
      </c>
      <c r="L48" s="683">
        <f>IF(AND(ISNUMBER(Validation!AR53),Validation!Q53=Approved),Validation!AR53,"")</f>
        <v>5748.8957596704367</v>
      </c>
      <c r="M48" s="684" t="str">
        <f>IF(AND(ISNUMBER(Validation!AS53),Validation!S53=Approved),Validation!AS53,"")</f>
        <v/>
      </c>
      <c r="N48" s="683">
        <f>IF(AND(ISNUMBER(Validation!AT53),Validation!U53=Approved),Validation!AT53,"")</f>
        <v>15510.194127715231</v>
      </c>
      <c r="O48" s="684" t="str">
        <f>IF(AND(ISNUMBER(Validation!AU53),Validation!W53=Approved),Validation!AU53,"")</f>
        <v/>
      </c>
      <c r="P48" s="683">
        <f>IF(AND(ISNUMBER(Validation!AV53),Validation!Y53=Approved),Validation!AV53,"")</f>
        <v>756.4457423016861</v>
      </c>
      <c r="Q48" s="684" t="str">
        <f>IF(AND(ISNUMBER(Validation!AW53),Validation!AA53=Approved),Validation!AW53,"")</f>
        <v/>
      </c>
      <c r="R48" s="683">
        <f>IF(AND(ISNUMBER(Validation!AX53),Validation!AC53=Approved),Validation!AX53,"")</f>
        <v>125.00973899493573</v>
      </c>
      <c r="S48" s="684">
        <f>IF(AND(ISNUMBER(Validation!AY53),Validation!AE53=Approved),Validation!AY53,"")</f>
        <v>1946.1960355286672</v>
      </c>
      <c r="T48" s="683">
        <f>IF(AND(ISNUMBER(Validation!AZ53),Validation!AG53=Approved),Validation!AZ53,"")</f>
        <v>2130.8475522438775</v>
      </c>
      <c r="U48" s="684">
        <f>IF(AND(ISNUMBER(Validation!BA53),Validation!AI53=Approved),Validation!BA53,"")</f>
        <v>23093.640407366711</v>
      </c>
      <c r="V48" s="683">
        <f>IF(AND(ISNUMBER(Validation!BB53),Validation!AK53=Approved),Validation!BB53,"")</f>
        <v>21011.709805030048</v>
      </c>
    </row>
    <row r="49" spans="2:22">
      <c r="B49" s="903"/>
      <c r="C49" s="873"/>
      <c r="D49" s="672" t="s">
        <v>48</v>
      </c>
      <c r="E49" s="603" t="s">
        <v>157</v>
      </c>
      <c r="F49" s="579">
        <f t="shared" si="1"/>
        <v>10621.451674171622</v>
      </c>
      <c r="G49" s="684">
        <f>IF(AND(ISNUMBER(Validation!AM54),Validation!G54=Approved),Validation!AM54,"")</f>
        <v>1289.0626028136392</v>
      </c>
      <c r="H49" s="683">
        <f>IF(AND(ISNUMBER(Validation!AN54),Validation!I54=Approved),Validation!AN54,"")</f>
        <v>2779.1998829810577</v>
      </c>
      <c r="I49" s="684">
        <f>IF(AND(ISNUMBER(Validation!AO54),Validation!K54=Approved),Validation!AO54,"")</f>
        <v>6536.5115922807236</v>
      </c>
      <c r="J49" s="683">
        <f>IF(AND(ISNUMBER(Validation!AP54),Validation!M54=Approved),Validation!AP54,"")</f>
        <v>6617.3832131346098</v>
      </c>
      <c r="K49" s="684" t="str">
        <f>IF(AND(ISNUMBER(Validation!AQ54),Validation!O54=Approved),Validation!AQ54,"")</f>
        <v/>
      </c>
      <c r="L49" s="683">
        <f>IF(AND(ISNUMBER(Validation!AR54),Validation!Q54=Approved),Validation!AR54,"")</f>
        <v>2019.8529642114277</v>
      </c>
      <c r="M49" s="684" t="str">
        <f>IF(AND(ISNUMBER(Validation!AS54),Validation!S54=Approved),Validation!AS54,"")</f>
        <v/>
      </c>
      <c r="N49" s="683">
        <f>IF(AND(ISNUMBER(Validation!AT54),Validation!U54=Approved),Validation!AT54,"")</f>
        <v>41731.67218692154</v>
      </c>
      <c r="O49" s="684" t="str">
        <f>IF(AND(ISNUMBER(Validation!AU54),Validation!W54=Approved),Validation!AU54,"")</f>
        <v/>
      </c>
      <c r="P49" s="683">
        <f>IF(AND(ISNUMBER(Validation!AV54),Validation!Y54=Approved),Validation!AV54,"")</f>
        <v>2330.6311228953364</v>
      </c>
      <c r="Q49" s="684" t="str">
        <f>IF(AND(ISNUMBER(Validation!AW54),Validation!AA54=Approved),Validation!AW54,"")</f>
        <v/>
      </c>
      <c r="R49" s="683">
        <f>IF(AND(ISNUMBER(Validation!AX54),Validation!AC54=Approved),Validation!AX54,"")</f>
        <v>36.229061160888193</v>
      </c>
      <c r="S49" s="684">
        <f>IF(AND(ISNUMBER(Validation!AY54),Validation!AE54=Approved),Validation!AY54,"")</f>
        <v>6135.6478518853792</v>
      </c>
      <c r="T49" s="683">
        <f>IF(AND(ISNUMBER(Validation!AZ54),Validation!AG54=Approved),Validation!AZ54,"")</f>
        <v>4993.3203771059652</v>
      </c>
      <c r="U49" s="684">
        <f>IF(AND(ISNUMBER(Validation!BA54),Validation!AI54=Approved),Validation!BA54,"")</f>
        <v>11541.187372997858</v>
      </c>
      <c r="V49" s="683">
        <f>IF(AND(ISNUMBER(Validation!BB54),Validation!AK54=Approved),Validation!BB54,"")</f>
        <v>9935.9913250265035</v>
      </c>
    </row>
    <row r="50" spans="2:22">
      <c r="B50" s="904"/>
      <c r="C50" s="874"/>
      <c r="D50" s="672" t="s">
        <v>49</v>
      </c>
      <c r="E50" s="603" t="s">
        <v>158</v>
      </c>
      <c r="F50" s="579">
        <f t="shared" si="1"/>
        <v>710.8341298104873</v>
      </c>
      <c r="G50" s="684">
        <f>IF(AND(ISNUMBER(Validation!AM55),Validation!G55=Approved),Validation!AM55,"")</f>
        <v>0</v>
      </c>
      <c r="H50" s="683">
        <f>IF(AND(ISNUMBER(Validation!AN55),Validation!I55=Approved),Validation!AN55,"")</f>
        <v>0</v>
      </c>
      <c r="I50" s="684">
        <f>IF(AND(ISNUMBER(Validation!AO55),Validation!K55=Approved),Validation!AO55,"")</f>
        <v>86.479817262832583</v>
      </c>
      <c r="J50" s="683">
        <f>IF(AND(ISNUMBER(Validation!AP55),Validation!M55=Approved),Validation!AP55,"")</f>
        <v>1071.8900297443995</v>
      </c>
      <c r="K50" s="684" t="str">
        <f>IF(AND(ISNUMBER(Validation!AQ55),Validation!O55=Approved),Validation!AQ55,"")</f>
        <v/>
      </c>
      <c r="L50" s="683">
        <f>IF(AND(ISNUMBER(Validation!AR55),Validation!Q55=Approved),Validation!AR55,"")</f>
        <v>77.83842867846127</v>
      </c>
      <c r="M50" s="684" t="str">
        <f>IF(AND(ISNUMBER(Validation!AS55),Validation!S55=Approved),Validation!AS55,"")</f>
        <v/>
      </c>
      <c r="N50" s="683">
        <f>IF(AND(ISNUMBER(Validation!AT55),Validation!U55=Approved),Validation!AT55,"")</f>
        <v>38.078099894258401</v>
      </c>
      <c r="O50" s="684" t="str">
        <f>IF(AND(ISNUMBER(Validation!AU55),Validation!W55=Approved),Validation!AU55,"")</f>
        <v/>
      </c>
      <c r="P50" s="683">
        <f>IF(AND(ISNUMBER(Validation!AV55),Validation!Y55=Approved),Validation!AV55,"")</f>
        <v>11124.328552958847</v>
      </c>
      <c r="Q50" s="684" t="str">
        <f>IF(AND(ISNUMBER(Validation!AW55),Validation!AA55=Approved),Validation!AW55,"")</f>
        <v/>
      </c>
      <c r="R50" s="683">
        <f>IF(AND(ISNUMBER(Validation!AX55),Validation!AC55=Approved),Validation!AX55,"")</f>
        <v>568.75730424620178</v>
      </c>
      <c r="S50" s="684">
        <f>IF(AND(ISNUMBER(Validation!AY55),Validation!AE55=Approved),Validation!AY55,"")</f>
        <v>11.266715418055407</v>
      </c>
      <c r="T50" s="683">
        <f>IF(AND(ISNUMBER(Validation!AZ55),Validation!AG55=Approved),Validation!AZ55,"")</f>
        <v>11.672740259425048</v>
      </c>
      <c r="U50" s="684">
        <f>IF(AND(ISNUMBER(Validation!BA55),Validation!AI55=Approved),Validation!BA55,"")</f>
        <v>0.60541516894679737</v>
      </c>
      <c r="V50" s="683">
        <f>IF(AND(ISNUMBER(Validation!BB55),Validation!AK55=Approved),Validation!BB55,"")</f>
        <v>4.1526193035503614</v>
      </c>
    </row>
    <row r="51" spans="2:22">
      <c r="B51" s="902" t="s">
        <v>50</v>
      </c>
      <c r="C51" s="872" t="s">
        <v>159</v>
      </c>
      <c r="D51" s="671" t="s">
        <v>51</v>
      </c>
      <c r="E51" s="598" t="s">
        <v>113</v>
      </c>
      <c r="F51" s="581">
        <f t="shared" si="1"/>
        <v>8210.3190727663114</v>
      </c>
      <c r="G51" s="681">
        <f>IF(AND(ISNUMBER(Validation!AM56),Validation!G56=Approved),Validation!AM56,"")</f>
        <v>0</v>
      </c>
      <c r="H51" s="680">
        <f>IF(AND(ISNUMBER(Validation!AN56),Validation!I56=Approved),Validation!AN56,"")</f>
        <v>0</v>
      </c>
      <c r="I51" s="681" t="str">
        <f>IF(AND(ISNUMBER(Validation!AO56),Validation!K56=Approved),Validation!AO56,"")</f>
        <v/>
      </c>
      <c r="J51" s="680" t="str">
        <f>IF(AND(ISNUMBER(Validation!AP56),Validation!M56=Approved),Validation!AP56,"")</f>
        <v/>
      </c>
      <c r="K51" s="681" t="str">
        <f>IF(AND(ISNUMBER(Validation!AQ56),Validation!O56=Approved),Validation!AQ56,"")</f>
        <v/>
      </c>
      <c r="L51" s="680" t="str">
        <f>IF(AND(ISNUMBER(Validation!AR56),Validation!Q56=Approved),Validation!AR56,"")</f>
        <v/>
      </c>
      <c r="M51" s="681" t="str">
        <f>IF(AND(ISNUMBER(Validation!AS56),Validation!S56=Approved),Validation!AS56,"")</f>
        <v/>
      </c>
      <c r="N51" s="680">
        <f>IF(AND(ISNUMBER(Validation!AT56),Validation!U56=Approved),Validation!AT56,"")</f>
        <v>26114.303182537638</v>
      </c>
      <c r="O51" s="681" t="str">
        <f>IF(AND(ISNUMBER(Validation!AU56),Validation!W56=Approved),Validation!AU56,"")</f>
        <v/>
      </c>
      <c r="P51" s="680" t="str">
        <f>IF(AND(ISNUMBER(Validation!AV56),Validation!Y56=Approved),Validation!AV56,"")</f>
        <v/>
      </c>
      <c r="Q51" s="681" t="str">
        <f>IF(AND(ISNUMBER(Validation!AW56),Validation!AA56=Approved),Validation!AW56,"")</f>
        <v/>
      </c>
      <c r="R51" s="680" t="str">
        <f>IF(AND(ISNUMBER(Validation!AX56),Validation!AC56=Approved),Validation!AX56,"")</f>
        <v/>
      </c>
      <c r="S51" s="681">
        <f>IF(AND(ISNUMBER(Validation!AY56),Validation!AE56=Approved),Validation!AY56,"")</f>
        <v>3391.6885356717216</v>
      </c>
      <c r="T51" s="680">
        <f>IF(AND(ISNUMBER(Validation!AZ56),Validation!AG56=Approved),Validation!AZ56,"")</f>
        <v>3659.4812192491845</v>
      </c>
      <c r="U51" s="681">
        <f>IF(AND(ISNUMBER(Validation!BA56),Validation!AI56=Approved),Validation!BA56,"")</f>
        <v>3539.4888537672609</v>
      </c>
      <c r="V51" s="680">
        <f>IF(AND(ISNUMBER(Validation!BB56),Validation!AK56=Approved),Validation!BB56,"")</f>
        <v>3497.5545467338211</v>
      </c>
    </row>
    <row r="52" spans="2:22">
      <c r="B52" s="903"/>
      <c r="C52" s="873"/>
      <c r="D52" s="672" t="s">
        <v>115</v>
      </c>
      <c r="E52" s="603" t="s">
        <v>114</v>
      </c>
      <c r="F52" s="579">
        <f t="shared" si="1"/>
        <v>13370.513222941894</v>
      </c>
      <c r="G52" s="684">
        <f>IF(AND(ISNUMBER(Validation!AM57),Validation!G57=Approved),Validation!AM57,"")</f>
        <v>7278.1660020793033</v>
      </c>
      <c r="H52" s="683">
        <f>IF(AND(ISNUMBER(Validation!AN57),Validation!I57=Approved),Validation!AN57,"")</f>
        <v>5899.6614809165094</v>
      </c>
      <c r="I52" s="684" t="str">
        <f>IF(AND(ISNUMBER(Validation!AO57),Validation!K57=Approved),Validation!AO57,"")</f>
        <v/>
      </c>
      <c r="J52" s="683" t="str">
        <f>IF(AND(ISNUMBER(Validation!AP57),Validation!M57=Approved),Validation!AP57,"")</f>
        <v/>
      </c>
      <c r="K52" s="684" t="str">
        <f>IF(AND(ISNUMBER(Validation!AQ57),Validation!O57=Approved),Validation!AQ57,"")</f>
        <v/>
      </c>
      <c r="L52" s="683" t="str">
        <f>IF(AND(ISNUMBER(Validation!AR57),Validation!Q57=Approved),Validation!AR57,"")</f>
        <v/>
      </c>
      <c r="M52" s="684" t="str">
        <f>IF(AND(ISNUMBER(Validation!AS57),Validation!S57=Approved),Validation!AS57,"")</f>
        <v/>
      </c>
      <c r="N52" s="683">
        <f>IF(AND(ISNUMBER(Validation!AT57),Validation!U57=Approved),Validation!AT57,"")</f>
        <v>27283.814261874217</v>
      </c>
      <c r="O52" s="684" t="str">
        <f>IF(AND(ISNUMBER(Validation!AU57),Validation!W57=Approved),Validation!AU57,"")</f>
        <v/>
      </c>
      <c r="P52" s="683" t="str">
        <f>IF(AND(ISNUMBER(Validation!AV57),Validation!Y57=Approved),Validation!AV57,"")</f>
        <v/>
      </c>
      <c r="Q52" s="684" t="str">
        <f>IF(AND(ISNUMBER(Validation!AW57),Validation!AA57=Approved),Validation!AW57,"")</f>
        <v/>
      </c>
      <c r="R52" s="683" t="str">
        <f>IF(AND(ISNUMBER(Validation!AX57),Validation!AC57=Approved),Validation!AX57,"")</f>
        <v/>
      </c>
      <c r="S52" s="684">
        <f>IF(AND(ISNUMBER(Validation!AY57),Validation!AE57=Approved),Validation!AY57,"")</f>
        <v>8521.573714427117</v>
      </c>
      <c r="T52" s="683">
        <f>IF(AND(ISNUMBER(Validation!AZ57),Validation!AG57=Approved),Validation!AZ57,"")</f>
        <v>8713.5626042363729</v>
      </c>
      <c r="U52" s="684">
        <f>IF(AND(ISNUMBER(Validation!BA57),Validation!AI57=Approved),Validation!BA57,"")</f>
        <v>11859.144738183211</v>
      </c>
      <c r="V52" s="683">
        <f>IF(AND(ISNUMBER(Validation!BB57),Validation!AK57=Approved),Validation!BB57,"")</f>
        <v>12775.311217827375</v>
      </c>
    </row>
    <row r="53" spans="2:22">
      <c r="B53" s="903"/>
      <c r="C53" s="873"/>
      <c r="D53" s="672" t="s">
        <v>52</v>
      </c>
      <c r="E53" s="603" t="s">
        <v>116</v>
      </c>
      <c r="F53" s="579">
        <f t="shared" si="1"/>
        <v>169.02450114135027</v>
      </c>
      <c r="G53" s="684">
        <f>IF(AND(ISNUMBER(Validation!AM58),Validation!G58=Approved),Validation!AM58,"")</f>
        <v>0</v>
      </c>
      <c r="H53" s="683">
        <f>IF(AND(ISNUMBER(Validation!AN58),Validation!I58=Approved),Validation!AN58,"")</f>
        <v>0</v>
      </c>
      <c r="I53" s="684">
        <f>IF(AND(ISNUMBER(Validation!AO58),Validation!K58=Approved),Validation!AO58,"")</f>
        <v>0</v>
      </c>
      <c r="J53" s="683">
        <f>IF(AND(ISNUMBER(Validation!AP58),Validation!M58=Approved),Validation!AP58,"")</f>
        <v>0</v>
      </c>
      <c r="K53" s="684" t="str">
        <f>IF(AND(ISNUMBER(Validation!AQ58),Validation!O58=Approved),Validation!AQ58,"")</f>
        <v/>
      </c>
      <c r="L53" s="683">
        <f>IF(AND(ISNUMBER(Validation!AR58),Validation!Q58=Approved),Validation!AR58,"")</f>
        <v>0</v>
      </c>
      <c r="M53" s="684" t="str">
        <f>IF(AND(ISNUMBER(Validation!AS58),Validation!S58=Approved),Validation!AS58,"")</f>
        <v/>
      </c>
      <c r="N53" s="683">
        <f>IF(AND(ISNUMBER(Validation!AT58),Validation!U58=Approved),Validation!AT58,"")</f>
        <v>1316.689353085171</v>
      </c>
      <c r="O53" s="684" t="str">
        <f>IF(AND(ISNUMBER(Validation!AU58),Validation!W58=Approved),Validation!AU58,"")</f>
        <v/>
      </c>
      <c r="P53" s="683">
        <f>IF(AND(ISNUMBER(Validation!AV58),Validation!Y58=Approved),Validation!AV58,"")</f>
        <v>0</v>
      </c>
      <c r="Q53" s="684" t="str">
        <f>IF(AND(ISNUMBER(Validation!AW58),Validation!AA58=Approved),Validation!AW58,"")</f>
        <v/>
      </c>
      <c r="R53" s="683" t="str">
        <f>IF(AND(ISNUMBER(Validation!AX58),Validation!AC58=Approved),Validation!AX58,"")</f>
        <v/>
      </c>
      <c r="S53" s="684">
        <f>IF(AND(ISNUMBER(Validation!AY58),Validation!AE58=Approved),Validation!AY58,"")</f>
        <v>29.982279062678433</v>
      </c>
      <c r="T53" s="683">
        <f>IF(AND(ISNUMBER(Validation!AZ58),Validation!AG58=Approved),Validation!AZ58,"")</f>
        <v>37.187030827961877</v>
      </c>
      <c r="U53" s="684">
        <f>IF(AND(ISNUMBER(Validation!BA58),Validation!AI58=Approved),Validation!BA58,"")</f>
        <v>0</v>
      </c>
      <c r="V53" s="683">
        <f>IF(AND(ISNUMBER(Validation!BB58),Validation!AK58=Approved),Validation!BB58,"")</f>
        <v>0</v>
      </c>
    </row>
    <row r="54" spans="2:22">
      <c r="B54" s="904"/>
      <c r="C54" s="874"/>
      <c r="D54" s="674" t="s">
        <v>118</v>
      </c>
      <c r="E54" s="615" t="s">
        <v>117</v>
      </c>
      <c r="F54" s="690">
        <f t="shared" si="1"/>
        <v>9.9706480391476617</v>
      </c>
      <c r="G54" s="687">
        <f>IF(AND(ISNUMBER(Validation!AM59),Validation!G59=Approved),Validation!AM59,"")</f>
        <v>0</v>
      </c>
      <c r="H54" s="688">
        <f>IF(AND(ISNUMBER(Validation!AN59),Validation!I59=Approved),Validation!AN59,"")</f>
        <v>0</v>
      </c>
      <c r="I54" s="687">
        <f>IF(AND(ISNUMBER(Validation!AO59),Validation!K59=Approved),Validation!AO59,"")</f>
        <v>0</v>
      </c>
      <c r="J54" s="688">
        <f>IF(AND(ISNUMBER(Validation!AP59),Validation!M59=Approved),Validation!AP59,"")</f>
        <v>0</v>
      </c>
      <c r="K54" s="687" t="str">
        <f>IF(AND(ISNUMBER(Validation!AQ59),Validation!O59=Approved),Validation!AQ59,"")</f>
        <v/>
      </c>
      <c r="L54" s="688">
        <f>IF(AND(ISNUMBER(Validation!AR59),Validation!Q59=Approved),Validation!AR59,"")</f>
        <v>0</v>
      </c>
      <c r="M54" s="687" t="str">
        <f>IF(AND(ISNUMBER(Validation!AS59),Validation!S59=Approved),Validation!AS59,"")</f>
        <v/>
      </c>
      <c r="N54" s="688">
        <f>IF(AND(ISNUMBER(Validation!AT59),Validation!U59=Approved),Validation!AT59,"")</f>
        <v>0</v>
      </c>
      <c r="O54" s="687" t="str">
        <f>IF(AND(ISNUMBER(Validation!AU59),Validation!W59=Approved),Validation!AU59,"")</f>
        <v/>
      </c>
      <c r="P54" s="688">
        <f>IF(AND(ISNUMBER(Validation!AV59),Validation!Y59=Approved),Validation!AV59,"")</f>
        <v>0</v>
      </c>
      <c r="Q54" s="687" t="str">
        <f>IF(AND(ISNUMBER(Validation!AW59),Validation!AA59=Approved),Validation!AW59,"")</f>
        <v/>
      </c>
      <c r="R54" s="688" t="str">
        <f>IF(AND(ISNUMBER(Validation!AX59),Validation!AC59=Approved),Validation!AX59,"")</f>
        <v/>
      </c>
      <c r="S54" s="687">
        <f>IF(AND(ISNUMBER(Validation!AY59),Validation!AE59=Approved),Validation!AY59,"")</f>
        <v>29.982279062678433</v>
      </c>
      <c r="T54" s="688">
        <f>IF(AND(ISNUMBER(Validation!AZ59),Validation!AG59=Approved),Validation!AZ59,"")</f>
        <v>37.187030827961877</v>
      </c>
      <c r="U54" s="687">
        <f>IF(AND(ISNUMBER(Validation!BA59),Validation!AI59=Approved),Validation!BA59,"")</f>
        <v>0</v>
      </c>
      <c r="V54" s="688">
        <f>IF(AND(ISNUMBER(Validation!BB59),Validation!AK59=Approved),Validation!BB59,"")</f>
        <v>0</v>
      </c>
    </row>
    <row r="55" spans="2:22" ht="25.5">
      <c r="B55" s="902" t="s">
        <v>53</v>
      </c>
      <c r="C55" s="872" t="s">
        <v>54</v>
      </c>
      <c r="D55" s="671" t="s">
        <v>55</v>
      </c>
      <c r="E55" s="598" t="s">
        <v>160</v>
      </c>
      <c r="F55" s="581">
        <f t="shared" si="1"/>
        <v>105.63651365684855</v>
      </c>
      <c r="G55" s="681">
        <f>IF(AND(ISNUMBER(Validation!AM60),Validation!G60=Approved),Validation!AM60,"")</f>
        <v>16.360693276481502</v>
      </c>
      <c r="H55" s="680">
        <f>IF(AND(ISNUMBER(Validation!AN60),Validation!I60=Approved),Validation!AN60,"")</f>
        <v>49.793127226755544</v>
      </c>
      <c r="I55" s="681">
        <f>IF(AND(ISNUMBER(Validation!AO60),Validation!K60=Approved),Validation!AO60,"")</f>
        <v>140.45888007385776</v>
      </c>
      <c r="J55" s="680">
        <f>IF(AND(ISNUMBER(Validation!AP60),Validation!M60=Approved),Validation!AP60,"")</f>
        <v>133.26317912178402</v>
      </c>
      <c r="K55" s="681" t="str">
        <f>IF(AND(ISNUMBER(Validation!AQ60),Validation!O60=Approved),Validation!AQ60,"")</f>
        <v/>
      </c>
      <c r="L55" s="680">
        <f>IF(AND(ISNUMBER(Validation!AR60),Validation!Q60=Approved),Validation!AR60,"")</f>
        <v>695.51447678473028</v>
      </c>
      <c r="M55" s="681" t="str">
        <f>IF(AND(ISNUMBER(Validation!AS60),Validation!S60=Approved),Validation!AS60,"")</f>
        <v/>
      </c>
      <c r="N55" s="680">
        <f>IF(AND(ISNUMBER(Validation!AT60),Validation!U60=Approved),Validation!AT60,"")</f>
        <v>332.86249121048354</v>
      </c>
      <c r="O55" s="681" t="str">
        <f>IF(AND(ISNUMBER(Validation!AU60),Validation!W60=Approved),Validation!AU60,"")</f>
        <v/>
      </c>
      <c r="P55" s="680">
        <f>IF(AND(ISNUMBER(Validation!AV60),Validation!Y60=Approved),Validation!AV60,"")</f>
        <v>16.075912705166449</v>
      </c>
      <c r="Q55" s="681" t="str">
        <f>IF(AND(ISNUMBER(Validation!AW60),Validation!AA60=Approved),Validation!AW60,"")</f>
        <v/>
      </c>
      <c r="R55" s="680">
        <f>IF(AND(ISNUMBER(Validation!AX60),Validation!AC60=Approved),Validation!AX60,"")</f>
        <v>42.851577717179588</v>
      </c>
      <c r="S55" s="681">
        <f>IF(AND(ISNUMBER(Validation!AY60),Validation!AE60=Approved),Validation!AY60,"")</f>
        <v>12.507898477420285</v>
      </c>
      <c r="T55" s="680">
        <f>IF(AND(ISNUMBER(Validation!AZ60),Validation!AG60=Approved),Validation!AZ60,"")</f>
        <v>41.012354069075997</v>
      </c>
      <c r="U55" s="681">
        <f>IF(AND(ISNUMBER(Validation!BA60),Validation!AI60=Approved),Validation!BA60,"")</f>
        <v>0.65416807364086282</v>
      </c>
      <c r="V55" s="680">
        <f>IF(AND(ISNUMBER(Validation!BB60),Validation!AK60=Approved),Validation!BB60,"")</f>
        <v>2.1767450953959337</v>
      </c>
    </row>
    <row r="56" spans="2:22">
      <c r="B56" s="903"/>
      <c r="C56" s="873"/>
      <c r="D56" s="672" t="s">
        <v>56</v>
      </c>
      <c r="E56" s="603" t="s">
        <v>161</v>
      </c>
      <c r="F56" s="579">
        <f t="shared" si="1"/>
        <v>28.687578307535212</v>
      </c>
      <c r="G56" s="684">
        <f>IF(AND(ISNUMBER(Validation!AM61),Validation!G61=Approved),Validation!AM61,"")</f>
        <v>0</v>
      </c>
      <c r="H56" s="683">
        <f>IF(AND(ISNUMBER(Validation!AN61),Validation!I61=Approved),Validation!AN61,"")</f>
        <v>0</v>
      </c>
      <c r="I56" s="684">
        <f>IF(AND(ISNUMBER(Validation!AO61),Validation!K61=Approved),Validation!AO61,"")</f>
        <v>13.100642516623676</v>
      </c>
      <c r="J56" s="683">
        <f>IF(AND(ISNUMBER(Validation!AP61),Validation!M61=Approved),Validation!AP61,"")</f>
        <v>6.453022333506981</v>
      </c>
      <c r="K56" s="684" t="str">
        <f>IF(AND(ISNUMBER(Validation!AQ61),Validation!O61=Approved),Validation!AQ61,"")</f>
        <v/>
      </c>
      <c r="L56" s="683">
        <f>IF(AND(ISNUMBER(Validation!AR61),Validation!Q61=Approved),Validation!AR61,"")</f>
        <v>0</v>
      </c>
      <c r="M56" s="684" t="str">
        <f>IF(AND(ISNUMBER(Validation!AS61),Validation!S61=Approved),Validation!AS61,"")</f>
        <v/>
      </c>
      <c r="N56" s="683">
        <f>IF(AND(ISNUMBER(Validation!AT61),Validation!U61=Approved),Validation!AT61,"")</f>
        <v>204.29542358998188</v>
      </c>
      <c r="O56" s="684" t="str">
        <f>IF(AND(ISNUMBER(Validation!AU61),Validation!W61=Approved),Validation!AU61,"")</f>
        <v/>
      </c>
      <c r="P56" s="683">
        <f>IF(AND(ISNUMBER(Validation!AV61),Validation!Y61=Approved),Validation!AV61,"")</f>
        <v>0</v>
      </c>
      <c r="Q56" s="684" t="str">
        <f>IF(AND(ISNUMBER(Validation!AW61),Validation!AA61=Approved),Validation!AW61,"")</f>
        <v/>
      </c>
      <c r="R56" s="683" t="str">
        <f>IF(AND(ISNUMBER(Validation!AX61),Validation!AC61=Approved),Validation!AX61,"")</f>
        <v/>
      </c>
      <c r="S56" s="684">
        <f>IF(AND(ISNUMBER(Validation!AY61),Validation!AE61=Approved),Validation!AY61,"")</f>
        <v>1.3998963026813789</v>
      </c>
      <c r="T56" s="683">
        <f>IF(AND(ISNUMBER(Validation!AZ61),Validation!AG61=Approved),Validation!AZ61,"")</f>
        <v>5.2009833325820801E-3</v>
      </c>
      <c r="U56" s="684">
        <f>IF(AND(ISNUMBER(Validation!BA61),Validation!AI61=Approved),Validation!BA61,"")</f>
        <v>0</v>
      </c>
      <c r="V56" s="683">
        <f>IF(AND(ISNUMBER(Validation!BB61),Validation!AK61=Approved),Validation!BB61,"")</f>
        <v>0.9420750009952884</v>
      </c>
    </row>
    <row r="57" spans="2:22">
      <c r="B57" s="903"/>
      <c r="C57" s="873"/>
      <c r="D57" s="672" t="s">
        <v>57</v>
      </c>
      <c r="E57" s="603" t="s">
        <v>162</v>
      </c>
      <c r="F57" s="579">
        <f t="shared" si="1"/>
        <v>0.50659273160314644</v>
      </c>
      <c r="G57" s="684">
        <f>IF(AND(ISNUMBER(Validation!AM62),Validation!G62=Approved),Validation!AM62,"")</f>
        <v>0</v>
      </c>
      <c r="H57" s="683">
        <f>IF(AND(ISNUMBER(Validation!AN62),Validation!I62=Approved),Validation!AN62,"")</f>
        <v>0</v>
      </c>
      <c r="I57" s="684">
        <f>IF(AND(ISNUMBER(Validation!AO62),Validation!K62=Approved),Validation!AO62,"")</f>
        <v>0</v>
      </c>
      <c r="J57" s="683">
        <f>IF(AND(ISNUMBER(Validation!AP62),Validation!M62=Approved),Validation!AP62,"")</f>
        <v>0</v>
      </c>
      <c r="K57" s="684" t="str">
        <f>IF(AND(ISNUMBER(Validation!AQ62),Validation!O62=Approved),Validation!AQ62,"")</f>
        <v/>
      </c>
      <c r="L57" s="683">
        <f>IF(AND(ISNUMBER(Validation!AR62),Validation!Q62=Approved),Validation!AR62,"")</f>
        <v>0</v>
      </c>
      <c r="M57" s="684" t="str">
        <f>IF(AND(ISNUMBER(Validation!AS62),Validation!S62=Approved),Validation!AS62,"")</f>
        <v/>
      </c>
      <c r="N57" s="683">
        <f>IF(AND(ISNUMBER(Validation!AT62),Validation!U62=Approved),Validation!AT62,"")</f>
        <v>3.2088286427745842</v>
      </c>
      <c r="O57" s="684" t="str">
        <f>IF(AND(ISNUMBER(Validation!AU62),Validation!W62=Approved),Validation!AU62,"")</f>
        <v/>
      </c>
      <c r="P57" s="683">
        <f>IF(AND(ISNUMBER(Validation!AV62),Validation!Y62=Approved),Validation!AV62,"")</f>
        <v>0</v>
      </c>
      <c r="Q57" s="684" t="str">
        <f>IF(AND(ISNUMBER(Validation!AW62),Validation!AA62=Approved),Validation!AW62,"")</f>
        <v/>
      </c>
      <c r="R57" s="683">
        <f>IF(AND(ISNUMBER(Validation!AX62),Validation!AC62=Approved),Validation!AX62,"")</f>
        <v>6.8172964550058435</v>
      </c>
      <c r="S57" s="684">
        <f>IF(AND(ISNUMBER(Validation!AY62),Validation!AE62=Approved),Validation!AY62,"")</f>
        <v>1.4698911178154476E-2</v>
      </c>
      <c r="T57" s="683">
        <f>IF(AND(ISNUMBER(Validation!AZ62),Validation!AG62=Approved),Validation!AZ62,"")</f>
        <v>0.18723539997295488</v>
      </c>
      <c r="U57" s="684">
        <f>IF(AND(ISNUMBER(Validation!BA62),Validation!AI62=Approved),Validation!BA62,"")</f>
        <v>7.3928584986902648E-2</v>
      </c>
      <c r="V57" s="683">
        <f>IF(AND(ISNUMBER(Validation!BB62),Validation!AK62=Approved),Validation!BB62,"")</f>
        <v>5.9126046087570406E-3</v>
      </c>
    </row>
    <row r="58" spans="2:22">
      <c r="B58" s="903"/>
      <c r="C58" s="873"/>
      <c r="D58" s="672" t="s">
        <v>120</v>
      </c>
      <c r="E58" s="603" t="s">
        <v>119</v>
      </c>
      <c r="F58" s="579">
        <f t="shared" si="1"/>
        <v>0</v>
      </c>
      <c r="G58" s="684">
        <f>IF(AND(ISNUMBER(Validation!AM63),Validation!G63=Approved),Validation!AM63,"")</f>
        <v>0</v>
      </c>
      <c r="H58" s="683">
        <f>IF(AND(ISNUMBER(Validation!AN63),Validation!I63=Approved),Validation!AN63,"")</f>
        <v>0</v>
      </c>
      <c r="I58" s="684">
        <f>IF(AND(ISNUMBER(Validation!AO63),Validation!K63=Approved),Validation!AO63,"")</f>
        <v>0</v>
      </c>
      <c r="J58" s="683">
        <f>IF(AND(ISNUMBER(Validation!AP63),Validation!M63=Approved),Validation!AP63,"")</f>
        <v>0</v>
      </c>
      <c r="K58" s="684" t="str">
        <f>IF(AND(ISNUMBER(Validation!AQ63),Validation!O63=Approved),Validation!AQ63,"")</f>
        <v/>
      </c>
      <c r="L58" s="683">
        <f>IF(AND(ISNUMBER(Validation!AR63),Validation!Q63=Approved),Validation!AR63,"")</f>
        <v>0</v>
      </c>
      <c r="M58" s="684" t="str">
        <f>IF(AND(ISNUMBER(Validation!AS63),Validation!S63=Approved),Validation!AS63,"")</f>
        <v/>
      </c>
      <c r="N58" s="683">
        <f>IF(AND(ISNUMBER(Validation!AT63),Validation!U63=Approved),Validation!AT63,"")</f>
        <v>0</v>
      </c>
      <c r="O58" s="684" t="str">
        <f>IF(AND(ISNUMBER(Validation!AU63),Validation!W63=Approved),Validation!AU63,"")</f>
        <v/>
      </c>
      <c r="P58" s="683">
        <f>IF(AND(ISNUMBER(Validation!AV63),Validation!Y63=Approved),Validation!AV63,"")</f>
        <v>0</v>
      </c>
      <c r="Q58" s="684" t="str">
        <f>IF(AND(ISNUMBER(Validation!AW63),Validation!AA63=Approved),Validation!AW63,"")</f>
        <v/>
      </c>
      <c r="R58" s="683" t="str">
        <f>IF(AND(ISNUMBER(Validation!AX63),Validation!AC63=Approved),Validation!AX63,"")</f>
        <v/>
      </c>
      <c r="S58" s="684" t="str">
        <f>IF(AND(ISNUMBER(Validation!AY63),Validation!AE63=Approved),Validation!AY63,"")</f>
        <v/>
      </c>
      <c r="T58" s="683" t="str">
        <f>IF(AND(ISNUMBER(Validation!AZ63),Validation!AG63=Approved),Validation!AZ63,"")</f>
        <v/>
      </c>
      <c r="U58" s="684">
        <f>IF(AND(ISNUMBER(Validation!BA63),Validation!AI63=Approved),Validation!BA63,"")</f>
        <v>0</v>
      </c>
      <c r="V58" s="683">
        <f>IF(AND(ISNUMBER(Validation!BB63),Validation!AK63=Approved),Validation!BB63,"")</f>
        <v>0</v>
      </c>
    </row>
    <row r="59" spans="2:22">
      <c r="B59" s="903"/>
      <c r="C59" s="873"/>
      <c r="D59" s="672" t="s">
        <v>122</v>
      </c>
      <c r="E59" s="603" t="s">
        <v>121</v>
      </c>
      <c r="F59" s="579">
        <f t="shared" si="1"/>
        <v>0</v>
      </c>
      <c r="G59" s="684">
        <f>IF(AND(ISNUMBER(Validation!AM64),Validation!G64=Approved),Validation!AM64,"")</f>
        <v>0</v>
      </c>
      <c r="H59" s="683">
        <f>IF(AND(ISNUMBER(Validation!AN64),Validation!I64=Approved),Validation!AN64,"")</f>
        <v>0</v>
      </c>
      <c r="I59" s="684">
        <f>IF(AND(ISNUMBER(Validation!AO64),Validation!K64=Approved),Validation!AO64,"")</f>
        <v>0</v>
      </c>
      <c r="J59" s="683">
        <f>IF(AND(ISNUMBER(Validation!AP64),Validation!M64=Approved),Validation!AP64,"")</f>
        <v>0</v>
      </c>
      <c r="K59" s="684" t="str">
        <f>IF(AND(ISNUMBER(Validation!AQ64),Validation!O64=Approved),Validation!AQ64,"")</f>
        <v/>
      </c>
      <c r="L59" s="683">
        <f>IF(AND(ISNUMBER(Validation!AR64),Validation!Q64=Approved),Validation!AR64,"")</f>
        <v>0</v>
      </c>
      <c r="M59" s="684" t="str">
        <f>IF(AND(ISNUMBER(Validation!AS64),Validation!S64=Approved),Validation!AS64,"")</f>
        <v/>
      </c>
      <c r="N59" s="683">
        <f>IF(AND(ISNUMBER(Validation!AT64),Validation!U64=Approved),Validation!AT64,"")</f>
        <v>0</v>
      </c>
      <c r="O59" s="684" t="str">
        <f>IF(AND(ISNUMBER(Validation!AU64),Validation!W64=Approved),Validation!AU64,"")</f>
        <v/>
      </c>
      <c r="P59" s="683">
        <f>IF(AND(ISNUMBER(Validation!AV64),Validation!Y64=Approved),Validation!AV64,"")</f>
        <v>0</v>
      </c>
      <c r="Q59" s="684" t="str">
        <f>IF(AND(ISNUMBER(Validation!AW64),Validation!AA64=Approved),Validation!AW64,"")</f>
        <v/>
      </c>
      <c r="R59" s="683" t="str">
        <f>IF(AND(ISNUMBER(Validation!AX64),Validation!AC64=Approved),Validation!AX64,"")</f>
        <v/>
      </c>
      <c r="S59" s="684" t="str">
        <f>IF(AND(ISNUMBER(Validation!AY64),Validation!AE64=Approved),Validation!AY64,"")</f>
        <v/>
      </c>
      <c r="T59" s="683" t="str">
        <f>IF(AND(ISNUMBER(Validation!AZ64),Validation!AG64=Approved),Validation!AZ64,"")</f>
        <v/>
      </c>
      <c r="U59" s="684">
        <f>IF(AND(ISNUMBER(Validation!BA64),Validation!AI64=Approved),Validation!BA64,"")</f>
        <v>0</v>
      </c>
      <c r="V59" s="683">
        <f>IF(AND(ISNUMBER(Validation!BB64),Validation!AK64=Approved),Validation!BB64,"")</f>
        <v>0</v>
      </c>
    </row>
    <row r="60" spans="2:22">
      <c r="B60" s="903"/>
      <c r="C60" s="873"/>
      <c r="D60" s="672" t="s">
        <v>124</v>
      </c>
      <c r="E60" s="603" t="s">
        <v>123</v>
      </c>
      <c r="F60" s="579">
        <f t="shared" si="1"/>
        <v>0.4041927873193405</v>
      </c>
      <c r="G60" s="684">
        <f>IF(AND(ISNUMBER(Validation!AM65),Validation!G65=Approved),Validation!AM65,"")</f>
        <v>0</v>
      </c>
      <c r="H60" s="683">
        <f>IF(AND(ISNUMBER(Validation!AN65),Validation!I65=Approved),Validation!AN65,"")</f>
        <v>0</v>
      </c>
      <c r="I60" s="684">
        <f>IF(AND(ISNUMBER(Validation!AO65),Validation!K65=Approved),Validation!AO65,"")</f>
        <v>0</v>
      </c>
      <c r="J60" s="683">
        <f>IF(AND(ISNUMBER(Validation!AP65),Validation!M65=Approved),Validation!AP65,"")</f>
        <v>0</v>
      </c>
      <c r="K60" s="684" t="str">
        <f>IF(AND(ISNUMBER(Validation!AQ65),Validation!O65=Approved),Validation!AQ65,"")</f>
        <v/>
      </c>
      <c r="L60" s="683">
        <f>IF(AND(ISNUMBER(Validation!AR65),Validation!Q65=Approved),Validation!AR65,"")</f>
        <v>0</v>
      </c>
      <c r="M60" s="684" t="str">
        <f>IF(AND(ISNUMBER(Validation!AS65),Validation!S65=Approved),Validation!AS65,"")</f>
        <v/>
      </c>
      <c r="N60" s="683">
        <f>IF(AND(ISNUMBER(Validation!AT65),Validation!U65=Approved),Validation!AT65,"")</f>
        <v>1.9252971856647505</v>
      </c>
      <c r="O60" s="684" t="str">
        <f>IF(AND(ISNUMBER(Validation!AU65),Validation!W65=Approved),Validation!AU65,"")</f>
        <v/>
      </c>
      <c r="P60" s="683">
        <f>IF(AND(ISNUMBER(Validation!AV65),Validation!Y65=Approved),Validation!AV65,"")</f>
        <v>0</v>
      </c>
      <c r="Q60" s="684" t="str">
        <f>IF(AND(ISNUMBER(Validation!AW65),Validation!AA65=Approved),Validation!AW65,"")</f>
        <v/>
      </c>
      <c r="R60" s="683" t="str">
        <f>IF(AND(ISNUMBER(Validation!AX65),Validation!AC65=Approved),Validation!AX65,"")</f>
        <v/>
      </c>
      <c r="S60" s="684" t="str">
        <f>IF(AND(ISNUMBER(Validation!AY65),Validation!AE65=Approved),Validation!AY65,"")</f>
        <v/>
      </c>
      <c r="T60" s="683" t="str">
        <f>IF(AND(ISNUMBER(Validation!AZ65),Validation!AG65=Approved),Validation!AZ65,"")</f>
        <v/>
      </c>
      <c r="U60" s="684">
        <f>IF(AND(ISNUMBER(Validation!BA65),Validation!AI65=Approved),Validation!BA65,"")</f>
        <v>0.79922794580435297</v>
      </c>
      <c r="V60" s="683">
        <f>IF(AND(ISNUMBER(Validation!BB65),Validation!AK65=Approved),Validation!BB65,"")</f>
        <v>0</v>
      </c>
    </row>
    <row r="61" spans="2:22">
      <c r="B61" s="903"/>
      <c r="C61" s="873"/>
      <c r="D61" s="672" t="s">
        <v>58</v>
      </c>
      <c r="E61" s="603" t="s">
        <v>136</v>
      </c>
      <c r="F61" s="579">
        <f t="shared" si="1"/>
        <v>3.3837382875443001</v>
      </c>
      <c r="G61" s="684">
        <f>IF(AND(ISNUMBER(Validation!AM66),Validation!G66=Approved),Validation!AM66,"")</f>
        <v>0</v>
      </c>
      <c r="H61" s="683">
        <f>IF(AND(ISNUMBER(Validation!AN66),Validation!I66=Approved),Validation!AN66,"")</f>
        <v>0</v>
      </c>
      <c r="I61" s="684">
        <f>IF(AND(ISNUMBER(Validation!AO66),Validation!K66=Approved),Validation!AO66,"")</f>
        <v>5.2929467289299366</v>
      </c>
      <c r="J61" s="683">
        <f>IF(AND(ISNUMBER(Validation!AP66),Validation!M66=Approved),Validation!AP66,"")</f>
        <v>1.3635370628665535</v>
      </c>
      <c r="K61" s="684" t="str">
        <f>IF(AND(ISNUMBER(Validation!AQ66),Validation!O66=Approved),Validation!AQ66,"")</f>
        <v/>
      </c>
      <c r="L61" s="683">
        <f>IF(AND(ISNUMBER(Validation!AR66),Validation!Q66=Approved),Validation!AR66,"")</f>
        <v>0</v>
      </c>
      <c r="M61" s="684" t="str">
        <f>IF(AND(ISNUMBER(Validation!AS66),Validation!S66=Approved),Validation!AS66,"")</f>
        <v/>
      </c>
      <c r="N61" s="683">
        <f>IF(AND(ISNUMBER(Validation!AT66),Validation!U66=Approved),Validation!AT66,"")</f>
        <v>7.915110652177308</v>
      </c>
      <c r="O61" s="684" t="str">
        <f>IF(AND(ISNUMBER(Validation!AU66),Validation!W66=Approved),Validation!AU66,"")</f>
        <v/>
      </c>
      <c r="P61" s="683">
        <f>IF(AND(ISNUMBER(Validation!AV66),Validation!Y66=Approved),Validation!AV66,"")</f>
        <v>2.985867887289459E-2</v>
      </c>
      <c r="Q61" s="684" t="str">
        <f>IF(AND(ISNUMBER(Validation!AW66),Validation!AA66=Approved),Validation!AW66,"")</f>
        <v/>
      </c>
      <c r="R61" s="683" t="str">
        <f>IF(AND(ISNUMBER(Validation!AX66),Validation!AC66=Approved),Validation!AX66,"")</f>
        <v/>
      </c>
      <c r="S61" s="684">
        <f>IF(AND(ISNUMBER(Validation!AY66),Validation!AE66=Approved),Validation!AY66,"")</f>
        <v>1.286329715126352</v>
      </c>
      <c r="T61" s="683">
        <f>IF(AND(ISNUMBER(Validation!AZ66),Validation!AG66=Approved),Validation!AZ66,"")</f>
        <v>2.6351648885082541</v>
      </c>
      <c r="U61" s="684">
        <f>IF(AND(ISNUMBER(Validation!BA66),Validation!AI66=Approved),Validation!BA66,"")</f>
        <v>7.4428102453030371</v>
      </c>
      <c r="V61" s="683">
        <f>IF(AND(ISNUMBER(Validation!BB66),Validation!AK66=Approved),Validation!BB66,"")</f>
        <v>1.378425221121558</v>
      </c>
    </row>
    <row r="62" spans="2:22">
      <c r="B62" s="903"/>
      <c r="C62" s="873"/>
      <c r="D62" s="672" t="s">
        <v>59</v>
      </c>
      <c r="E62" s="603" t="s">
        <v>125</v>
      </c>
      <c r="F62" s="579">
        <f t="shared" si="1"/>
        <v>85.927803767670696</v>
      </c>
      <c r="G62" s="684">
        <f>IF(AND(ISNUMBER(Validation!AM67),Validation!G67=Approved),Validation!AM67,"")</f>
        <v>0</v>
      </c>
      <c r="H62" s="683">
        <f>IF(AND(ISNUMBER(Validation!AN67),Validation!I67=Approved),Validation!AN67,"")</f>
        <v>0</v>
      </c>
      <c r="I62" s="684">
        <f>IF(AND(ISNUMBER(Validation!AO67),Validation!K67=Approved),Validation!AO67,"")</f>
        <v>0</v>
      </c>
      <c r="J62" s="683">
        <f>IF(AND(ISNUMBER(Validation!AP67),Validation!M67=Approved),Validation!AP67,"")</f>
        <v>0</v>
      </c>
      <c r="K62" s="684" t="str">
        <f>IF(AND(ISNUMBER(Validation!AQ67),Validation!O67=Approved),Validation!AQ67,"")</f>
        <v/>
      </c>
      <c r="L62" s="683">
        <f>IF(AND(ISNUMBER(Validation!AR67),Validation!Q67=Approved),Validation!AR67,"")</f>
        <v>0</v>
      </c>
      <c r="M62" s="684" t="str">
        <f>IF(AND(ISNUMBER(Validation!AS67),Validation!S67=Approved),Validation!AS67,"")</f>
        <v/>
      </c>
      <c r="N62" s="683">
        <f>IF(AND(ISNUMBER(Validation!AT67),Validation!U67=Approved),Validation!AT67,"")</f>
        <v>83.643466621657495</v>
      </c>
      <c r="O62" s="684" t="str">
        <f>IF(AND(ISNUMBER(Validation!AU67),Validation!W67=Approved),Validation!AU67,"")</f>
        <v/>
      </c>
      <c r="P62" s="683">
        <f>IF(AND(ISNUMBER(Validation!AV67),Validation!Y67=Approved),Validation!AV67,"")</f>
        <v>1447.2859953838483</v>
      </c>
      <c r="Q62" s="684" t="str">
        <f>IF(AND(ISNUMBER(Validation!AW67),Validation!AA67=Approved),Validation!AW67,"")</f>
        <v/>
      </c>
      <c r="R62" s="683">
        <f>IF(AND(ISNUMBER(Validation!AX67),Validation!AC67=Approved),Validation!AX67,"")</f>
        <v>3.8955979742890534</v>
      </c>
      <c r="S62" s="684">
        <f>IF(AND(ISNUMBER(Validation!AY67),Validation!AE67=Approved),Validation!AY67,"")</f>
        <v>8.7451522028505746</v>
      </c>
      <c r="T62" s="683">
        <f>IF(AND(ISNUMBER(Validation!AZ67),Validation!AG67=Approved),Validation!AZ67,"")</f>
        <v>12.093326444919853</v>
      </c>
      <c r="U62" s="684" t="str">
        <f>IF(AND(ISNUMBER(Validation!BA67),Validation!AI67=Approved),Validation!BA67,"")</f>
        <v/>
      </c>
      <c r="V62" s="683" t="str">
        <f>IF(AND(ISNUMBER(Validation!BB67),Validation!AK67=Approved),Validation!BB67,"")</f>
        <v/>
      </c>
    </row>
    <row r="63" spans="2:22" ht="25.5">
      <c r="B63" s="903"/>
      <c r="C63" s="873"/>
      <c r="D63" s="672" t="s">
        <v>60</v>
      </c>
      <c r="E63" s="603" t="s">
        <v>163</v>
      </c>
      <c r="F63" s="579">
        <f t="shared" si="1"/>
        <v>273.70100437611279</v>
      </c>
      <c r="G63" s="684">
        <f>IF(AND(ISNUMBER(Validation!AM68),Validation!G68=Approved),Validation!AM68,"")</f>
        <v>0</v>
      </c>
      <c r="H63" s="683">
        <f>IF(AND(ISNUMBER(Validation!AN68),Validation!I68=Approved),Validation!AN68,"")</f>
        <v>0</v>
      </c>
      <c r="I63" s="684">
        <f>IF(AND(ISNUMBER(Validation!AO68),Validation!K68=Approved),Validation!AO68,"")</f>
        <v>560.55723241612577</v>
      </c>
      <c r="J63" s="683">
        <f>IF(AND(ISNUMBER(Validation!AP68),Validation!M68=Approved),Validation!AP68,"")</f>
        <v>739.21094459475353</v>
      </c>
      <c r="K63" s="684" t="str">
        <f>IF(AND(ISNUMBER(Validation!AQ68),Validation!O68=Approved),Validation!AQ68,"")</f>
        <v/>
      </c>
      <c r="L63" s="683">
        <f>IF(AND(ISNUMBER(Validation!AR68),Validation!Q68=Approved),Validation!AR68,"")</f>
        <v>114.34060689269536</v>
      </c>
      <c r="M63" s="684" t="str">
        <f>IF(AND(ISNUMBER(Validation!AS68),Validation!S68=Approved),Validation!AS68,"")</f>
        <v/>
      </c>
      <c r="N63" s="683">
        <f>IF(AND(ISNUMBER(Validation!AT68),Validation!U68=Approved),Validation!AT68,"")</f>
        <v>90.702889635761579</v>
      </c>
      <c r="O63" s="684" t="str">
        <f>IF(AND(ISNUMBER(Validation!AU68),Validation!W68=Approved),Validation!AU68,"")</f>
        <v/>
      </c>
      <c r="P63" s="683">
        <f>IF(AND(ISNUMBER(Validation!AV68),Validation!Y68=Approved),Validation!AV68,"")</f>
        <v>4.3354801723442948</v>
      </c>
      <c r="Q63" s="684" t="str">
        <f>IF(AND(ISNUMBER(Validation!AW68),Validation!AA68=Approved),Validation!AW68,"")</f>
        <v/>
      </c>
      <c r="R63" s="683">
        <f>IF(AND(ISNUMBER(Validation!AX68),Validation!AC68=Approved),Validation!AX68,"")</f>
        <v>8.3755356447214648</v>
      </c>
      <c r="S63" s="684">
        <f>IF(AND(ISNUMBER(Validation!AY68),Validation!AE68=Approved),Validation!AY68,"")</f>
        <v>46.071462256433371</v>
      </c>
      <c r="T63" s="683">
        <f>IF(AND(ISNUMBER(Validation!AZ68),Validation!AG68=Approved),Validation!AZ68,"")</f>
        <v>34.623466143332173</v>
      </c>
      <c r="U63" s="684">
        <f>IF(AND(ISNUMBER(Validation!BA68),Validation!AI68=Approved),Validation!BA68,"")</f>
        <v>16.978398866694768</v>
      </c>
      <c r="V63" s="683">
        <f>IF(AND(ISNUMBER(Validation!BB68),Validation!AK68=Approved),Validation!BB68,"")</f>
        <v>49.788663802601</v>
      </c>
    </row>
    <row r="64" spans="2:22">
      <c r="B64" s="904"/>
      <c r="C64" s="874"/>
      <c r="D64" s="674" t="s">
        <v>61</v>
      </c>
      <c r="E64" s="615" t="s">
        <v>126</v>
      </c>
      <c r="F64" s="690">
        <f t="shared" si="1"/>
        <v>1.0370737605460392</v>
      </c>
      <c r="G64" s="687">
        <f>IF(AND(ISNUMBER(Validation!AM69),Validation!G69=Approved),Validation!AM69,"")</f>
        <v>0</v>
      </c>
      <c r="H64" s="688">
        <f>IF(AND(ISNUMBER(Validation!AN69),Validation!I69=Approved),Validation!AN69,"")</f>
        <v>0</v>
      </c>
      <c r="I64" s="687">
        <f>IF(AND(ISNUMBER(Validation!AO69),Validation!K69=Approved),Validation!AO69,"")</f>
        <v>0</v>
      </c>
      <c r="J64" s="688">
        <f>IF(AND(ISNUMBER(Validation!AP69),Validation!M69=Approved),Validation!AP69,"")</f>
        <v>4.6313879039440738E-2</v>
      </c>
      <c r="K64" s="687" t="str">
        <f>IF(AND(ISNUMBER(Validation!AQ69),Validation!O69=Approved),Validation!AQ69,"")</f>
        <v/>
      </c>
      <c r="L64" s="688">
        <f>IF(AND(ISNUMBER(Validation!AR69),Validation!Q69=Approved),Validation!AR69,"")</f>
        <v>0</v>
      </c>
      <c r="M64" s="687" t="str">
        <f>IF(AND(ISNUMBER(Validation!AS69),Validation!S69=Approved),Validation!AS69,"")</f>
        <v/>
      </c>
      <c r="N64" s="688">
        <f>IF(AND(ISNUMBER(Validation!AT69),Validation!U69=Approved),Validation!AT69,"")</f>
        <v>1.0696095475915282</v>
      </c>
      <c r="O64" s="687" t="str">
        <f>IF(AND(ISNUMBER(Validation!AU69),Validation!W69=Approved),Validation!AU69,"")</f>
        <v/>
      </c>
      <c r="P64" s="688">
        <f>IF(AND(ISNUMBER(Validation!AV69),Validation!Y69=Approved),Validation!AV69,"")</f>
        <v>0.11943471549157836</v>
      </c>
      <c r="Q64" s="687" t="str">
        <f>IF(AND(ISNUMBER(Validation!AW69),Validation!AA69=Approved),Validation!AW69,"")</f>
        <v/>
      </c>
      <c r="R64" s="688" t="str">
        <f>IF(AND(ISNUMBER(Validation!AX69),Validation!AC69=Approved),Validation!AX69,"")</f>
        <v/>
      </c>
      <c r="S64" s="687">
        <f>IF(AND(ISNUMBER(Validation!AY69),Validation!AE69=Approved),Validation!AY69,"")</f>
        <v>1.835614026890958</v>
      </c>
      <c r="T64" s="688">
        <f>IF(AND(ISNUMBER(Validation!AZ69),Validation!AG69=Approved),Validation!AZ69,"")</f>
        <v>8.6683055543034671E-3</v>
      </c>
      <c r="U64" s="687">
        <f>IF(AND(ISNUMBER(Validation!BA69),Validation!AI69=Approved),Validation!BA69,"")</f>
        <v>1.598455891608706E-2</v>
      </c>
      <c r="V64" s="688">
        <f>IF(AND(ISNUMBER(Validation!BB69),Validation!AK69=Approved),Validation!BB69,"")</f>
        <v>9.4632222197257878</v>
      </c>
    </row>
    <row r="65" spans="2:22">
      <c r="B65" s="902" t="s">
        <v>62</v>
      </c>
      <c r="C65" s="872" t="s">
        <v>164</v>
      </c>
      <c r="D65" s="672" t="s">
        <v>63</v>
      </c>
      <c r="E65" s="603" t="s">
        <v>165</v>
      </c>
      <c r="F65" s="581">
        <f t="shared" si="1"/>
        <v>1055.8847998041149</v>
      </c>
      <c r="G65" s="684">
        <f>IF(AND(ISNUMBER(Validation!AM70),Validation!G70=Approved),Validation!AM70,"")</f>
        <v>3.948043744324687</v>
      </c>
      <c r="H65" s="683">
        <f>IF(AND(ISNUMBER(Validation!AN70),Validation!I70=Approved),Validation!AN70,"")</f>
        <v>4.4404509408531938</v>
      </c>
      <c r="I65" s="684">
        <f>IF(AND(ISNUMBER(Validation!AO70),Validation!K70=Approved),Validation!AO70,"")</f>
        <v>910.81816438218209</v>
      </c>
      <c r="J65" s="683">
        <f>IF(AND(ISNUMBER(Validation!AP70),Validation!M70=Approved),Validation!AP70,"")</f>
        <v>969.40530008234123</v>
      </c>
      <c r="K65" s="684" t="str">
        <f>IF(AND(ISNUMBER(Validation!AQ70),Validation!O70=Approved),Validation!AQ70,"")</f>
        <v/>
      </c>
      <c r="L65" s="683">
        <f>IF(AND(ISNUMBER(Validation!AR70),Validation!Q70=Approved),Validation!AR70,"")</f>
        <v>286.69008078530862</v>
      </c>
      <c r="M65" s="684" t="str">
        <f>IF(AND(ISNUMBER(Validation!AS70),Validation!S70=Approved),Validation!AS70,"")</f>
        <v/>
      </c>
      <c r="N65" s="683">
        <f>IF(AND(ISNUMBER(Validation!AT70),Validation!U70=Approved),Validation!AT70,"")</f>
        <v>0</v>
      </c>
      <c r="O65" s="684" t="str">
        <f>IF(AND(ISNUMBER(Validation!AU70),Validation!W70=Approved),Validation!AU70,"")</f>
        <v/>
      </c>
      <c r="P65" s="683">
        <f>IF(AND(ISNUMBER(Validation!AV70),Validation!Y70=Approved),Validation!AV70,"")</f>
        <v>88.441406821513795</v>
      </c>
      <c r="Q65" s="684" t="str">
        <f>IF(AND(ISNUMBER(Validation!AW70),Validation!AA70=Approved),Validation!AW70,"")</f>
        <v/>
      </c>
      <c r="R65" s="683">
        <f>IF(AND(ISNUMBER(Validation!AX70),Validation!AC70=Approved),Validation!AX70,"")</f>
        <v>13.634592910011687</v>
      </c>
      <c r="S65" s="684">
        <f>IF(AND(ISNUMBER(Validation!AY70),Validation!AE70=Approved),Validation!AY70,"")</f>
        <v>1997.1998574205595</v>
      </c>
      <c r="T65" s="683">
        <f>IF(AND(ISNUMBER(Validation!AZ70),Validation!AG70=Approved),Validation!AZ70,"")</f>
        <v>2136.5355209825002</v>
      </c>
      <c r="U65" s="684">
        <f>IF(AND(ISNUMBER(Validation!BA70),Validation!AI70=Approved),Validation!BA70,"")</f>
        <v>581.46230741104068</v>
      </c>
      <c r="V65" s="683">
        <f>IF(AND(ISNUMBER(Validation!BB70),Validation!AK70=Approved),Validation!BB70,"")</f>
        <v>806.87450654387374</v>
      </c>
    </row>
    <row r="66" spans="2:22">
      <c r="B66" s="903"/>
      <c r="C66" s="873"/>
      <c r="D66" s="672" t="s">
        <v>64</v>
      </c>
      <c r="E66" s="603" t="s">
        <v>127</v>
      </c>
      <c r="F66" s="579">
        <f t="shared" si="1"/>
        <v>26534.835436087727</v>
      </c>
      <c r="G66" s="684">
        <f>IF(AND(ISNUMBER(Validation!AM71),Validation!G71=Approved),Validation!AM71,"")</f>
        <v>5124.5607801334436</v>
      </c>
      <c r="H66" s="683">
        <f>IF(AND(ISNUMBER(Validation!AN71),Validation!I71=Approved),Validation!AN71,"")</f>
        <v>1148.3267336042879</v>
      </c>
      <c r="I66" s="684" t="str">
        <f>IF(AND(ISNUMBER(Validation!AO71),Validation!K71=Approved),Validation!AO71,"")</f>
        <v/>
      </c>
      <c r="J66" s="683" t="str">
        <f>IF(AND(ISNUMBER(Validation!AP71),Validation!M71=Approved),Validation!AP71,"")</f>
        <v/>
      </c>
      <c r="K66" s="684" t="str">
        <f>IF(AND(ISNUMBER(Validation!AQ71),Validation!O71=Approved),Validation!AQ71,"")</f>
        <v/>
      </c>
      <c r="L66" s="683" t="str">
        <f>IF(AND(ISNUMBER(Validation!AR71),Validation!Q71=Approved),Validation!AR71,"")</f>
        <v/>
      </c>
      <c r="M66" s="684" t="str">
        <f>IF(AND(ISNUMBER(Validation!AS71),Validation!S71=Approved),Validation!AS71,"")</f>
        <v/>
      </c>
      <c r="N66" s="683" t="str">
        <f>IF(AND(ISNUMBER(Validation!AT71),Validation!U71=Approved),Validation!AT71,"")</f>
        <v/>
      </c>
      <c r="O66" s="684" t="str">
        <f>IF(AND(ISNUMBER(Validation!AU71),Validation!W71=Approved),Validation!AU71,"")</f>
        <v/>
      </c>
      <c r="P66" s="683">
        <f>IF(AND(ISNUMBER(Validation!AV71),Validation!Y71=Approved),Validation!AV71,"")</f>
        <v>113460.54922053921</v>
      </c>
      <c r="Q66" s="684" t="str">
        <f>IF(AND(ISNUMBER(Validation!AW71),Validation!AA71=Approved),Validation!AW71,"")</f>
        <v/>
      </c>
      <c r="R66" s="683">
        <f>IF(AND(ISNUMBER(Validation!AX71),Validation!AC71=Approved),Validation!AX71,"")</f>
        <v>257.88858589793529</v>
      </c>
      <c r="S66" s="684">
        <f>IF(AND(ISNUMBER(Validation!AY71),Validation!AE71=Approved),Validation!AY71,"")</f>
        <v>25620.483212706004</v>
      </c>
      <c r="T66" s="683">
        <f>IF(AND(ISNUMBER(Validation!AZ71),Validation!AG71=Approved),Validation!AZ71,"")</f>
        <v>30256.854896032342</v>
      </c>
      <c r="U66" s="684">
        <f>IF(AND(ISNUMBER(Validation!BA71),Validation!AI71=Approved),Validation!BA71,"")</f>
        <v>690.81117240745448</v>
      </c>
      <c r="V66" s="683">
        <f>IF(AND(ISNUMBER(Validation!BB71),Validation!AK71=Approved),Validation!BB71,"")</f>
        <v>602.49953388967003</v>
      </c>
    </row>
    <row r="67" spans="2:22">
      <c r="B67" s="903"/>
      <c r="C67" s="873"/>
      <c r="D67" s="672" t="s">
        <v>65</v>
      </c>
      <c r="E67" s="603" t="s">
        <v>166</v>
      </c>
      <c r="F67" s="579">
        <f t="shared" si="1"/>
        <v>44.523708650035914</v>
      </c>
      <c r="G67" s="684">
        <f>IF(AND(ISNUMBER(Validation!AM72),Validation!G72=Approved),Validation!AM72,"")</f>
        <v>0</v>
      </c>
      <c r="H67" s="683">
        <f>IF(AND(ISNUMBER(Validation!AN72),Validation!I72=Approved),Validation!AN72,"")</f>
        <v>0</v>
      </c>
      <c r="I67" s="684">
        <f>IF(AND(ISNUMBER(Validation!AO72),Validation!K72=Approved),Validation!AO72,"")</f>
        <v>33.965230743057823</v>
      </c>
      <c r="J67" s="683">
        <f>IF(AND(ISNUMBER(Validation!AP72),Validation!M72=Approved),Validation!AP72,"")</f>
        <v>0.56329507452904692</v>
      </c>
      <c r="K67" s="684" t="str">
        <f>IF(AND(ISNUMBER(Validation!AQ72),Validation!O72=Approved),Validation!AQ72,"")</f>
        <v/>
      </c>
      <c r="L67" s="683">
        <f>IF(AND(ISNUMBER(Validation!AR72),Validation!Q72=Approved),Validation!AR72,"")</f>
        <v>0</v>
      </c>
      <c r="M67" s="684" t="str">
        <f>IF(AND(ISNUMBER(Validation!AS72),Validation!S72=Approved),Validation!AS72,"")</f>
        <v/>
      </c>
      <c r="N67" s="683">
        <f>IF(AND(ISNUMBER(Validation!AT72),Validation!U72=Approved),Validation!AT72,"")</f>
        <v>264.40748016462572</v>
      </c>
      <c r="O67" s="684" t="str">
        <f>IF(AND(ISNUMBER(Validation!AU72),Validation!W72=Approved),Validation!AU72,"")</f>
        <v/>
      </c>
      <c r="P67" s="683">
        <f>IF(AND(ISNUMBER(Validation!AV72),Validation!Y72=Approved),Validation!AV72,"")</f>
        <v>1.0689407036496263</v>
      </c>
      <c r="Q67" s="684" t="str">
        <f>IF(AND(ISNUMBER(Validation!AW72),Validation!AA72=Approved),Validation!AW72,"")</f>
        <v/>
      </c>
      <c r="R67" s="683" t="str">
        <f>IF(AND(ISNUMBER(Validation!AX72),Validation!AC72=Approved),Validation!AX72,"")</f>
        <v/>
      </c>
      <c r="S67" s="684">
        <f>IF(AND(ISNUMBER(Validation!AY72),Validation!AE72=Approved),Validation!AY72,"")</f>
        <v>20.998444540220682</v>
      </c>
      <c r="T67" s="683">
        <f>IF(AND(ISNUMBER(Validation!AZ72),Validation!AG72=Approved),Validation!AZ72,"")</f>
        <v>14.233357720166293</v>
      </c>
      <c r="U67" s="684">
        <f>IF(AND(ISNUMBER(Validation!BA72),Validation!AI72=Approved),Validation!BA72,"")</f>
        <v>5.322858119056991</v>
      </c>
      <c r="V67" s="683">
        <f>IF(AND(ISNUMBER(Validation!BB72),Validation!AK72=Approved),Validation!BB72,"")</f>
        <v>5.83376988064028</v>
      </c>
    </row>
    <row r="68" spans="2:22">
      <c r="B68" s="903"/>
      <c r="C68" s="873"/>
      <c r="D68" s="672" t="s">
        <v>66</v>
      </c>
      <c r="E68" s="603" t="s">
        <v>173</v>
      </c>
      <c r="F68" s="579">
        <f t="shared" si="1"/>
        <v>129.23204380841852</v>
      </c>
      <c r="G68" s="684">
        <f>IF(AND(ISNUMBER(Validation!AM73),Validation!G73=Approved),Validation!AM73,"")</f>
        <v>0</v>
      </c>
      <c r="H68" s="683">
        <f>IF(AND(ISNUMBER(Validation!AN73),Validation!I73=Approved),Validation!AN73,"")</f>
        <v>0</v>
      </c>
      <c r="I68" s="684">
        <f>IF(AND(ISNUMBER(Validation!AO73),Validation!K73=Approved),Validation!AO73,"")</f>
        <v>0</v>
      </c>
      <c r="J68" s="683">
        <f>IF(AND(ISNUMBER(Validation!AP73),Validation!M73=Approved),Validation!AP73,"")</f>
        <v>0</v>
      </c>
      <c r="K68" s="684" t="str">
        <f>IF(AND(ISNUMBER(Validation!AQ73),Validation!O73=Approved),Validation!AQ73,"")</f>
        <v/>
      </c>
      <c r="L68" s="683">
        <f>IF(AND(ISNUMBER(Validation!AR73),Validation!Q73=Approved),Validation!AR73,"")</f>
        <v>0</v>
      </c>
      <c r="M68" s="684" t="str">
        <f>IF(AND(ISNUMBER(Validation!AS73),Validation!S73=Approved),Validation!AS73,"")</f>
        <v/>
      </c>
      <c r="N68" s="683">
        <f>IF(AND(ISNUMBER(Validation!AT73),Validation!U73=Approved),Validation!AT73,"")</f>
        <v>850.3395903352648</v>
      </c>
      <c r="O68" s="684" t="str">
        <f>IF(AND(ISNUMBER(Validation!AU73),Validation!W73=Approved),Validation!AU73,"")</f>
        <v/>
      </c>
      <c r="P68" s="683">
        <f>IF(AND(ISNUMBER(Validation!AV73),Validation!Y73=Approved),Validation!AV73,"")</f>
        <v>355.75421529898989</v>
      </c>
      <c r="Q68" s="684" t="str">
        <f>IF(AND(ISNUMBER(Validation!AW73),Validation!AA73=Approved),Validation!AW73,"")</f>
        <v/>
      </c>
      <c r="R68" s="683" t="str">
        <f>IF(AND(ISNUMBER(Validation!AX73),Validation!AC73=Approved),Validation!AX73,"")</f>
        <v/>
      </c>
      <c r="S68" s="684">
        <f>IF(AND(ISNUMBER(Validation!AY73),Validation!AE73=Approved),Validation!AY73,"")</f>
        <v>24.839060046627047</v>
      </c>
      <c r="T68" s="683">
        <f>IF(AND(ISNUMBER(Validation!AZ73),Validation!AG73=Approved),Validation!AZ73,"")</f>
        <v>42.219849032790464</v>
      </c>
      <c r="U68" s="684">
        <f>IF(AND(ISNUMBER(Validation!BA73),Validation!AI73=Approved),Validation!BA73,"")</f>
        <v>1.0789577268358765</v>
      </c>
      <c r="V68" s="683">
        <f>IF(AND(ISNUMBER(Validation!BB73),Validation!AK73=Approved),Validation!BB73,"")</f>
        <v>16.578943322954739</v>
      </c>
    </row>
    <row r="69" spans="2:22">
      <c r="B69" s="903"/>
      <c r="C69" s="873"/>
      <c r="D69" s="672" t="s">
        <v>67</v>
      </c>
      <c r="E69" s="603" t="s">
        <v>174</v>
      </c>
      <c r="F69" s="579">
        <f t="shared" si="1"/>
        <v>1625.4603743360217</v>
      </c>
      <c r="G69" s="684">
        <f>IF(AND(ISNUMBER(Validation!AM74),Validation!G74=Approved),Validation!AM74,"")</f>
        <v>0</v>
      </c>
      <c r="H69" s="683">
        <f>IF(AND(ISNUMBER(Validation!AN74),Validation!I74=Approved),Validation!AN74,"")</f>
        <v>0</v>
      </c>
      <c r="I69" s="684">
        <f>IF(AND(ISNUMBER(Validation!AO74),Validation!K74=Approved),Validation!AO74,"")</f>
        <v>1738.1824673526908</v>
      </c>
      <c r="J69" s="683">
        <f>IF(AND(ISNUMBER(Validation!AP74),Validation!M74=Approved),Validation!AP74,"")</f>
        <v>1309.57769674156</v>
      </c>
      <c r="K69" s="684" t="str">
        <f>IF(AND(ISNUMBER(Validation!AQ74),Validation!O74=Approved),Validation!AQ74,"")</f>
        <v/>
      </c>
      <c r="L69" s="683">
        <f>IF(AND(ISNUMBER(Validation!AR74),Validation!Q74=Approved),Validation!AR74,"")</f>
        <v>0</v>
      </c>
      <c r="M69" s="684" t="str">
        <f>IF(AND(ISNUMBER(Validation!AS74),Validation!S74=Approved),Validation!AS74,"")</f>
        <v/>
      </c>
      <c r="N69" s="683">
        <f>IF(AND(ISNUMBER(Validation!AT74),Validation!U74=Approved),Validation!AT74,"")</f>
        <v>2651.9899122984348</v>
      </c>
      <c r="O69" s="684" t="str">
        <f>IF(AND(ISNUMBER(Validation!AU74),Validation!W74=Approved),Validation!AU74,"")</f>
        <v/>
      </c>
      <c r="P69" s="683">
        <f>IF(AND(ISNUMBER(Validation!AV74),Validation!Y74=Approved),Validation!AV74,"")</f>
        <v>100.40279357799535</v>
      </c>
      <c r="Q69" s="684" t="str">
        <f>IF(AND(ISNUMBER(Validation!AW74),Validation!AA74=Approved),Validation!AW74,"")</f>
        <v/>
      </c>
      <c r="R69" s="683" t="str">
        <f>IF(AND(ISNUMBER(Validation!AX74),Validation!AC74=Approved),Validation!AX74,"")</f>
        <v/>
      </c>
      <c r="S69" s="684">
        <f>IF(AND(ISNUMBER(Validation!AY74),Validation!AE74=Approved),Validation!AY74,"")</f>
        <v>1775.0646620851564</v>
      </c>
      <c r="T69" s="683">
        <f>IF(AND(ISNUMBER(Validation!AZ74),Validation!AG74=Approved),Validation!AZ74,"")</f>
        <v>1939.8215022520258</v>
      </c>
      <c r="U69" s="684">
        <f>IF(AND(ISNUMBER(Validation!BA74),Validation!AI74=Approved),Validation!BA74,"")</f>
        <v>2510.4852712279944</v>
      </c>
      <c r="V69" s="683">
        <f>IF(AND(ISNUMBER(Validation!BB74),Validation!AK74=Approved),Validation!BB74,"")</f>
        <v>57.937612561210237</v>
      </c>
    </row>
    <row r="70" spans="2:22">
      <c r="B70" s="903"/>
      <c r="C70" s="873"/>
      <c r="D70" s="672" t="s">
        <v>68</v>
      </c>
      <c r="E70" s="603" t="s">
        <v>175</v>
      </c>
      <c r="F70" s="579">
        <f t="shared" si="1"/>
        <v>466.06396755766542</v>
      </c>
      <c r="G70" s="684">
        <f>IF(AND(ISNUMBER(Validation!AM75),Validation!G75=Approved),Validation!AM75,"")</f>
        <v>0</v>
      </c>
      <c r="H70" s="683">
        <f>IF(AND(ISNUMBER(Validation!AN75),Validation!I75=Approved),Validation!AN75,"")</f>
        <v>0</v>
      </c>
      <c r="I70" s="684">
        <f>IF(AND(ISNUMBER(Validation!AO75),Validation!K75=Approved),Validation!AO75,"")</f>
        <v>151.73312615030201</v>
      </c>
      <c r="J70" s="683">
        <f>IF(AND(ISNUMBER(Validation!AP75),Validation!M75=Approved),Validation!AP75,"")</f>
        <v>241.46053405481709</v>
      </c>
      <c r="K70" s="684" t="str">
        <f>IF(AND(ISNUMBER(Validation!AQ75),Validation!O75=Approved),Validation!AQ75,"")</f>
        <v/>
      </c>
      <c r="L70" s="683">
        <f>IF(AND(ISNUMBER(Validation!AR75),Validation!Q75=Approved),Validation!AR75,"")</f>
        <v>0</v>
      </c>
      <c r="M70" s="684" t="str">
        <f>IF(AND(ISNUMBER(Validation!AS75),Validation!S75=Approved),Validation!AS75,"")</f>
        <v/>
      </c>
      <c r="N70" s="683">
        <f>IF(AND(ISNUMBER(Validation!AT75),Validation!U75=Approved),Validation!AT75,"")</f>
        <v>1959.5246911876795</v>
      </c>
      <c r="O70" s="684" t="str">
        <f>IF(AND(ISNUMBER(Validation!AU75),Validation!W75=Approved),Validation!AU75,"")</f>
        <v/>
      </c>
      <c r="P70" s="683">
        <f>IF(AND(ISNUMBER(Validation!AV75),Validation!Y75=Approved),Validation!AV75,"")</f>
        <v>316.35867439409276</v>
      </c>
      <c r="Q70" s="684" t="str">
        <f>IF(AND(ISNUMBER(Validation!AW75),Validation!AA75=Approved),Validation!AW75,"")</f>
        <v/>
      </c>
      <c r="R70" s="683" t="str">
        <f>IF(AND(ISNUMBER(Validation!AX75),Validation!AC75=Approved),Validation!AX75,"")</f>
        <v/>
      </c>
      <c r="S70" s="684">
        <f>IF(AND(ISNUMBER(Validation!AY75),Validation!AE75=Approved),Validation!AY75,"")</f>
        <v>443.51374671921178</v>
      </c>
      <c r="T70" s="683">
        <f>IF(AND(ISNUMBER(Validation!AZ75),Validation!AG75=Approved),Validation!AZ75,"")</f>
        <v>480.04729427510426</v>
      </c>
      <c r="U70" s="684">
        <f>IF(AND(ISNUMBER(Validation!BA75),Validation!AI75=Approved),Validation!BA75,"")</f>
        <v>39.426713794474544</v>
      </c>
      <c r="V70" s="683">
        <f>IF(AND(ISNUMBER(Validation!BB75),Validation!AK75=Approved),Validation!BB75,"")</f>
        <v>10.760940387937811</v>
      </c>
    </row>
    <row r="71" spans="2:22">
      <c r="B71" s="903"/>
      <c r="C71" s="873"/>
      <c r="D71" s="672" t="s">
        <v>128</v>
      </c>
      <c r="E71" s="603" t="s">
        <v>167</v>
      </c>
      <c r="F71" s="579">
        <f t="shared" si="1"/>
        <v>7582.1523755293774</v>
      </c>
      <c r="G71" s="684">
        <f>IF(AND(ISNUMBER(Validation!AM76),Validation!G76=Approved),Validation!AM76,"")</f>
        <v>0</v>
      </c>
      <c r="H71" s="683">
        <f>IF(AND(ISNUMBER(Validation!AN76),Validation!I76=Approved),Validation!AN76,"")</f>
        <v>0</v>
      </c>
      <c r="I71" s="684">
        <f>IF(AND(ISNUMBER(Validation!AO76),Validation!K76=Approved),Validation!AO76,"")</f>
        <v>1481.3493092905669</v>
      </c>
      <c r="J71" s="683">
        <f>IF(AND(ISNUMBER(Validation!AP76),Validation!M76=Approved),Validation!AP76,"")</f>
        <v>1616.5277846303809</v>
      </c>
      <c r="K71" s="684" t="str">
        <f>IF(AND(ISNUMBER(Validation!AQ76),Validation!O76=Approved),Validation!AQ76,"")</f>
        <v/>
      </c>
      <c r="L71" s="683">
        <f>IF(AND(ISNUMBER(Validation!AR76),Validation!Q76=Approved),Validation!AR76,"")</f>
        <v>0</v>
      </c>
      <c r="M71" s="684" t="str">
        <f>IF(AND(ISNUMBER(Validation!AS76),Validation!S76=Approved),Validation!AS76,"")</f>
        <v/>
      </c>
      <c r="N71" s="683">
        <f>IF(AND(ISNUMBER(Validation!AT76),Validation!U76=Approved),Validation!AT76,"")</f>
        <v>42881.502450582433</v>
      </c>
      <c r="O71" s="684" t="str">
        <f>IF(AND(ISNUMBER(Validation!AU76),Validation!W76=Approved),Validation!AU76,"")</f>
        <v/>
      </c>
      <c r="P71" s="683">
        <f>IF(AND(ISNUMBER(Validation!AV76),Validation!Y76=Approved),Validation!AV76,"")</f>
        <v>31260.197485302066</v>
      </c>
      <c r="Q71" s="684" t="str">
        <f>IF(AND(ISNUMBER(Validation!AW76),Validation!AA76=Approved),Validation!AW76,"")</f>
        <v/>
      </c>
      <c r="R71" s="683" t="str">
        <f>IF(AND(ISNUMBER(Validation!AX76),Validation!AC76=Approved),Validation!AX76,"")</f>
        <v/>
      </c>
      <c r="S71" s="684">
        <f>IF(AND(ISNUMBER(Validation!AY76),Validation!AE76=Approved),Validation!AY76,"")</f>
        <v>0</v>
      </c>
      <c r="T71" s="683">
        <f>IF(AND(ISNUMBER(Validation!AZ76),Validation!AG76=Approved),Validation!AZ76,"")</f>
        <v>0</v>
      </c>
      <c r="U71" s="684">
        <f>IF(AND(ISNUMBER(Validation!BA76),Validation!AI76=Approved),Validation!BA76,"")</f>
        <v>2069.9138791927007</v>
      </c>
      <c r="V71" s="683">
        <f>IF(AND(ISNUMBER(Validation!BB76),Validation!AK76=Approved),Validation!BB76,"")</f>
        <v>4915.0976683446561</v>
      </c>
    </row>
    <row r="72" spans="2:22">
      <c r="B72" s="903"/>
      <c r="C72" s="873"/>
      <c r="D72" s="672" t="s">
        <v>69</v>
      </c>
      <c r="E72" s="603" t="s">
        <v>129</v>
      </c>
      <c r="F72" s="579">
        <f t="shared" si="1"/>
        <v>10324.938937183791</v>
      </c>
      <c r="G72" s="684">
        <f>IF(AND(ISNUMBER(Validation!AM77),Validation!G77=Approved),Validation!AM77,"")</f>
        <v>0</v>
      </c>
      <c r="H72" s="683">
        <f>IF(AND(ISNUMBER(Validation!AN77),Validation!I77=Approved),Validation!AN77,"")</f>
        <v>0</v>
      </c>
      <c r="I72" s="684" t="str">
        <f>IF(AND(ISNUMBER(Validation!AO77),Validation!K77=Approved),Validation!AO77,"")</f>
        <v/>
      </c>
      <c r="J72" s="683" t="str">
        <f>IF(AND(ISNUMBER(Validation!AP77),Validation!M77=Approved),Validation!AP77,"")</f>
        <v/>
      </c>
      <c r="K72" s="684" t="str">
        <f>IF(AND(ISNUMBER(Validation!AQ77),Validation!O77=Approved),Validation!AQ77,"")</f>
        <v/>
      </c>
      <c r="L72" s="683" t="str">
        <f>IF(AND(ISNUMBER(Validation!AR77),Validation!Q77=Approved),Validation!AR77,"")</f>
        <v/>
      </c>
      <c r="M72" s="684" t="str">
        <f>IF(AND(ISNUMBER(Validation!AS77),Validation!S77=Approved),Validation!AS77,"")</f>
        <v/>
      </c>
      <c r="N72" s="683">
        <f>IF(AND(ISNUMBER(Validation!AT77),Validation!U77=Approved),Validation!AT77,"")</f>
        <v>24670.116371379558</v>
      </c>
      <c r="O72" s="684" t="str">
        <f>IF(AND(ISNUMBER(Validation!AU77),Validation!W77=Approved),Validation!AU77,"")</f>
        <v/>
      </c>
      <c r="P72" s="683">
        <f>IF(AND(ISNUMBER(Validation!AV77),Validation!Y77=Approved),Validation!AV77,"")</f>
        <v>11306.717306986033</v>
      </c>
      <c r="Q72" s="684" t="str">
        <f>IF(AND(ISNUMBER(Validation!AW77),Validation!AA77=Approved),Validation!AW77,"")</f>
        <v/>
      </c>
      <c r="R72" s="683" t="str">
        <f>IF(AND(ISNUMBER(Validation!AX77),Validation!AC77=Approved),Validation!AX77,"")</f>
        <v/>
      </c>
      <c r="S72" s="684">
        <f>IF(AND(ISNUMBER(Validation!AY77),Validation!AE77=Approved),Validation!AY77,"")</f>
        <v>4948.6784016474076</v>
      </c>
      <c r="T72" s="683">
        <f>IF(AND(ISNUMBER(Validation!AZ77),Validation!AG77=Approved),Validation!AZ77,"")</f>
        <v>5106.161258221885</v>
      </c>
      <c r="U72" s="684" t="str">
        <f>IF(AND(ISNUMBER(Validation!BA77),Validation!AI77=Approved),Validation!BA77,"")</f>
        <v/>
      </c>
      <c r="V72" s="683" t="str">
        <f>IF(AND(ISNUMBER(Validation!BB77),Validation!AK77=Approved),Validation!BB77,"")</f>
        <v/>
      </c>
    </row>
    <row r="73" spans="2:22">
      <c r="B73" s="904"/>
      <c r="C73" s="874"/>
      <c r="D73" s="672" t="s">
        <v>70</v>
      </c>
      <c r="E73" s="603" t="s">
        <v>168</v>
      </c>
      <c r="F73" s="690">
        <f t="shared" ref="F73:F80" si="2">IFERROR(SUMPRODUCT(G73:V73,$G$4:$V$4)/SUMPRODUCT(--ISNUMBER(G73:V73),$G$4:$V$4),"")</f>
        <v>12.173536111561297</v>
      </c>
      <c r="G73" s="684">
        <f>IF(AND(ISNUMBER(Validation!AM78),Validation!G78=Approved),Validation!AM78,"")</f>
        <v>0</v>
      </c>
      <c r="H73" s="683">
        <f>IF(AND(ISNUMBER(Validation!AN78),Validation!I78=Approved),Validation!AN78,"")</f>
        <v>0</v>
      </c>
      <c r="I73" s="684">
        <f>IF(AND(ISNUMBER(Validation!AO78),Validation!K78=Approved),Validation!AO78,"")</f>
        <v>0</v>
      </c>
      <c r="J73" s="683">
        <f>IF(AND(ISNUMBER(Validation!AP78),Validation!M78=Approved),Validation!AP78,"")</f>
        <v>0</v>
      </c>
      <c r="K73" s="684" t="str">
        <f>IF(AND(ISNUMBER(Validation!AQ78),Validation!O78=Approved),Validation!AQ78,"")</f>
        <v/>
      </c>
      <c r="L73" s="683">
        <f>IF(AND(ISNUMBER(Validation!AR78),Validation!Q78=Approved),Validation!AR78,"")</f>
        <v>0</v>
      </c>
      <c r="M73" s="684" t="str">
        <f>IF(AND(ISNUMBER(Validation!AS78),Validation!S78=Approved),Validation!AS78,"")</f>
        <v/>
      </c>
      <c r="N73" s="683" t="str">
        <f>IF(AND(ISNUMBER(Validation!AT78),Validation!U78=Approved),Validation!AT78,"")</f>
        <v/>
      </c>
      <c r="O73" s="684" t="str">
        <f>IF(AND(ISNUMBER(Validation!AU78),Validation!W78=Approved),Validation!AU78,"")</f>
        <v/>
      </c>
      <c r="P73" s="683">
        <f>IF(AND(ISNUMBER(Validation!AV78),Validation!Y78=Approved),Validation!AV78,"")</f>
        <v>165.7634416307616</v>
      </c>
      <c r="Q73" s="684" t="str">
        <f>IF(AND(ISNUMBER(Validation!AW78),Validation!AA78=Approved),Validation!AW78,"")</f>
        <v/>
      </c>
      <c r="R73" s="683" t="str">
        <f>IF(AND(ISNUMBER(Validation!AX78),Validation!AC78=Approved),Validation!AX78,"")</f>
        <v/>
      </c>
      <c r="S73" s="684">
        <f>IF(AND(ISNUMBER(Validation!AY78),Validation!AE78=Approved),Validation!AY78,"")</f>
        <v>9.0783275228887401</v>
      </c>
      <c r="T73" s="683">
        <f>IF(AND(ISNUMBER(Validation!AZ78),Validation!AG78=Approved),Validation!AZ78,"")</f>
        <v>14.687576931211794</v>
      </c>
      <c r="U73" s="684">
        <f>IF(AND(ISNUMBER(Validation!BA78),Validation!AI78=Approved),Validation!BA78,"")</f>
        <v>0</v>
      </c>
      <c r="V73" s="683">
        <f>IF(AND(ISNUMBER(Validation!BB78),Validation!AK78=Approved),Validation!BB78,"")</f>
        <v>0</v>
      </c>
    </row>
    <row r="74" spans="2:22">
      <c r="B74" s="902" t="s">
        <v>71</v>
      </c>
      <c r="C74" s="872" t="s">
        <v>169</v>
      </c>
      <c r="D74" s="671" t="s">
        <v>72</v>
      </c>
      <c r="E74" s="598" t="s">
        <v>170</v>
      </c>
      <c r="F74" s="581">
        <f t="shared" si="2"/>
        <v>1841.6791299882682</v>
      </c>
      <c r="G74" s="681">
        <f>IF(AND(ISNUMBER(Validation!AM79),Validation!G79=Approved),Validation!AM79,"")</f>
        <v>213.1943621935331</v>
      </c>
      <c r="H74" s="680">
        <f>IF(AND(ISNUMBER(Validation!AN79),Validation!I79=Approved),Validation!AN79,"")</f>
        <v>330.13446730260887</v>
      </c>
      <c r="I74" s="681" t="str">
        <f>IF(AND(ISNUMBER(Validation!AO79),Validation!K79=Approved),Validation!AO79,"")</f>
        <v/>
      </c>
      <c r="J74" s="680" t="str">
        <f>IF(AND(ISNUMBER(Validation!AP79),Validation!M79=Approved),Validation!AP79,"")</f>
        <v/>
      </c>
      <c r="K74" s="681" t="str">
        <f>IF(AND(ISNUMBER(Validation!AQ79),Validation!O79=Approved),Validation!AQ79,"")</f>
        <v/>
      </c>
      <c r="L74" s="680">
        <f>IF(AND(ISNUMBER(Validation!AR79),Validation!Q79=Approved),Validation!AR79,"")</f>
        <v>1227.9530060339766</v>
      </c>
      <c r="M74" s="681" t="str">
        <f>IF(AND(ISNUMBER(Validation!AS79),Validation!S79=Approved),Validation!AS79,"")</f>
        <v/>
      </c>
      <c r="N74" s="680">
        <f>IF(AND(ISNUMBER(Validation!AT79),Validation!U79=Approved),Validation!AT79,"")</f>
        <v>5268.8966314358677</v>
      </c>
      <c r="O74" s="681" t="str">
        <f>IF(AND(ISNUMBER(Validation!AU79),Validation!W79=Approved),Validation!AU79,"")</f>
        <v/>
      </c>
      <c r="P74" s="680">
        <f>IF(AND(ISNUMBER(Validation!AV79),Validation!Y79=Approved),Validation!AV79,"")</f>
        <v>3448.7072684981977</v>
      </c>
      <c r="Q74" s="681" t="str">
        <f>IF(AND(ISNUMBER(Validation!AW79),Validation!AA79=Approved),Validation!AW79,"")</f>
        <v/>
      </c>
      <c r="R74" s="680">
        <f>IF(AND(ISNUMBER(Validation!AX79),Validation!AC79=Approved),Validation!AX79,"")</f>
        <v>15.582391897156214</v>
      </c>
      <c r="S74" s="681">
        <f>IF(AND(ISNUMBER(Validation!AY79),Validation!AE79=Approved),Validation!AY79,"")</f>
        <v>929.71400643497282</v>
      </c>
      <c r="T74" s="680">
        <f>IF(AND(ISNUMBER(Validation!AZ79),Validation!AG79=Approved),Validation!AZ79,"")</f>
        <v>935.86806145481921</v>
      </c>
      <c r="U74" s="681">
        <f>IF(AND(ISNUMBER(Validation!BA79),Validation!AI79=Approved),Validation!BA79,"")</f>
        <v>746.62586341592896</v>
      </c>
      <c r="V74" s="680">
        <f>IF(AND(ISNUMBER(Validation!BB79),Validation!AK79=Approved),Validation!BB79,"")</f>
        <v>559.97384027215901</v>
      </c>
    </row>
    <row r="75" spans="2:22">
      <c r="B75" s="903"/>
      <c r="C75" s="873"/>
      <c r="D75" s="672" t="s">
        <v>73</v>
      </c>
      <c r="E75" s="603" t="s">
        <v>130</v>
      </c>
      <c r="F75" s="579">
        <f t="shared" si="2"/>
        <v>138.38751056488201</v>
      </c>
      <c r="G75" s="684">
        <f>IF(AND(ISNUMBER(Validation!AM80),Validation!G80=Approved),Validation!AM80,"")</f>
        <v>868.56962375143121</v>
      </c>
      <c r="H75" s="683">
        <f>IF(AND(ISNUMBER(Validation!AN80),Validation!I80=Approved),Validation!AN80,"")</f>
        <v>408.7826895550146</v>
      </c>
      <c r="I75" s="684" t="str">
        <f>IF(AND(ISNUMBER(Validation!AO80),Validation!K80=Approved),Validation!AO80,"")</f>
        <v/>
      </c>
      <c r="J75" s="683" t="str">
        <f>IF(AND(ISNUMBER(Validation!AP80),Validation!M80=Approved),Validation!AP80,"")</f>
        <v/>
      </c>
      <c r="K75" s="684" t="str">
        <f>IF(AND(ISNUMBER(Validation!AQ80),Validation!O80=Approved),Validation!AQ80,"")</f>
        <v/>
      </c>
      <c r="L75" s="683">
        <f>IF(AND(ISNUMBER(Validation!AR80),Validation!Q80=Approved),Validation!AR80,"")</f>
        <v>0</v>
      </c>
      <c r="M75" s="684" t="str">
        <f>IF(AND(ISNUMBER(Validation!AS80),Validation!S80=Approved),Validation!AS80,"")</f>
        <v/>
      </c>
      <c r="N75" s="683">
        <f>IF(AND(ISNUMBER(Validation!AT80),Validation!U80=Approved),Validation!AT80,"")</f>
        <v>381.20884276162059</v>
      </c>
      <c r="O75" s="684" t="str">
        <f>IF(AND(ISNUMBER(Validation!AU80),Validation!W80=Approved),Validation!AU80,"")</f>
        <v/>
      </c>
      <c r="P75" s="683">
        <f>IF(AND(ISNUMBER(Validation!AV80),Validation!Y80=Approved),Validation!AV80,"")</f>
        <v>222.30980768024938</v>
      </c>
      <c r="Q75" s="684" t="str">
        <f>IF(AND(ISNUMBER(Validation!AW80),Validation!AA80=Approved),Validation!AW80,"")</f>
        <v/>
      </c>
      <c r="R75" s="683">
        <f>IF(AND(ISNUMBER(Validation!AX80),Validation!AC80=Approved),Validation!AX80,"")</f>
        <v>27.51071289442929</v>
      </c>
      <c r="S75" s="684">
        <f>IF(AND(ISNUMBER(Validation!AY80),Validation!AE80=Approved),Validation!AY80,"")</f>
        <v>82.657052178859814</v>
      </c>
      <c r="T75" s="683">
        <f>IF(AND(ISNUMBER(Validation!AZ80),Validation!AG80=Approved),Validation!AZ80,"")</f>
        <v>42.992021691567814</v>
      </c>
      <c r="U75" s="684">
        <f>IF(AND(ISNUMBER(Validation!BA80),Validation!AI80=Approved),Validation!BA80,"")</f>
        <v>0</v>
      </c>
      <c r="V75" s="683">
        <f>IF(AND(ISNUMBER(Validation!BB80),Validation!AK80=Approved),Validation!BB80,"")</f>
        <v>0</v>
      </c>
    </row>
    <row r="76" spans="2:22">
      <c r="B76" s="904"/>
      <c r="C76" s="874"/>
      <c r="D76" s="674" t="s">
        <v>74</v>
      </c>
      <c r="E76" s="615" t="s">
        <v>131</v>
      </c>
      <c r="F76" s="579">
        <f t="shared" si="2"/>
        <v>30.062515787483896</v>
      </c>
      <c r="G76" s="687">
        <f>IF(AND(ISNUMBER(Validation!AM81),Validation!G81=Approved),Validation!AM81,"")</f>
        <v>0</v>
      </c>
      <c r="H76" s="688">
        <f>IF(AND(ISNUMBER(Validation!AN81),Validation!I81=Approved),Validation!AN81,"")</f>
        <v>0</v>
      </c>
      <c r="I76" s="687">
        <f>IF(AND(ISNUMBER(Validation!AO81),Validation!K81=Approved),Validation!AO81,"")</f>
        <v>24.741657821836682</v>
      </c>
      <c r="J76" s="688">
        <f>IF(AND(ISNUMBER(Validation!AP81),Validation!M81=Approved),Validation!AP81,"")</f>
        <v>25.341551078024438</v>
      </c>
      <c r="K76" s="687" t="str">
        <f>IF(AND(ISNUMBER(Validation!AQ81),Validation!O81=Approved),Validation!AQ81,"")</f>
        <v/>
      </c>
      <c r="L76" s="688">
        <f>IF(AND(ISNUMBER(Validation!AR81),Validation!Q81=Approved),Validation!AR81,"")</f>
        <v>0</v>
      </c>
      <c r="M76" s="687" t="str">
        <f>IF(AND(ISNUMBER(Validation!AS81),Validation!S81=Approved),Validation!AS81,"")</f>
        <v/>
      </c>
      <c r="N76" s="688">
        <f>IF(AND(ISNUMBER(Validation!AT81),Validation!U81=Approved),Validation!AT81,"")</f>
        <v>16.258065123391226</v>
      </c>
      <c r="O76" s="687" t="str">
        <f>IF(AND(ISNUMBER(Validation!AU81),Validation!W81=Approved),Validation!AU81,"")</f>
        <v/>
      </c>
      <c r="P76" s="688">
        <f>IF(AND(ISNUMBER(Validation!AV81),Validation!Y81=Approved),Validation!AV81,"")</f>
        <v>3.2068221109488788</v>
      </c>
      <c r="Q76" s="687" t="str">
        <f>IF(AND(ISNUMBER(Validation!AW81),Validation!AA81=Approved),Validation!AW81,"")</f>
        <v/>
      </c>
      <c r="R76" s="688" t="str">
        <f>IF(AND(ISNUMBER(Validation!AX81),Validation!AC81=Approved),Validation!AX81,"")</f>
        <v/>
      </c>
      <c r="S76" s="687">
        <f>IF(AND(ISNUMBER(Validation!AY81),Validation!AE81=Approved),Validation!AY81,"")</f>
        <v>70.840527487926323</v>
      </c>
      <c r="T76" s="688">
        <f>IF(AND(ISNUMBER(Validation!AZ81),Validation!AG81=Approved),Validation!AZ81,"")</f>
        <v>53.046562670115499</v>
      </c>
      <c r="U76" s="687">
        <f>IF(AND(ISNUMBER(Validation!BA81),Validation!AI81=Approved),Validation!BA81,"")</f>
        <v>0</v>
      </c>
      <c r="V76" s="688">
        <f>IF(AND(ISNUMBER(Validation!BB81),Validation!AK81=Approved),Validation!BB81,"")</f>
        <v>0</v>
      </c>
    </row>
    <row r="77" spans="2:22" ht="38.25">
      <c r="B77" s="902" t="s">
        <v>75</v>
      </c>
      <c r="C77" s="872" t="s">
        <v>76</v>
      </c>
      <c r="D77" s="672" t="s">
        <v>77</v>
      </c>
      <c r="E77" s="603" t="s">
        <v>171</v>
      </c>
      <c r="F77" s="581">
        <f t="shared" si="2"/>
        <v>150.65443648794337</v>
      </c>
      <c r="G77" s="684">
        <f>IF(AND(ISNUMBER(Validation!AM82),Validation!G82=Approved),Validation!AM82,"")</f>
        <v>49.666390303604565</v>
      </c>
      <c r="H77" s="683">
        <f>IF(AND(ISNUMBER(Validation!AN82),Validation!I82=Approved),Validation!AN82,"")</f>
        <v>79.719154538140856</v>
      </c>
      <c r="I77" s="684">
        <f>IF(AND(ISNUMBER(Validation!AO82),Validation!K82=Approved),Validation!AO82,"")</f>
        <v>153.48783449846709</v>
      </c>
      <c r="J77" s="683">
        <f>IF(AND(ISNUMBER(Validation!AP82),Validation!M82=Approved),Validation!AP82,"")</f>
        <v>163.37237837565328</v>
      </c>
      <c r="K77" s="684" t="str">
        <f>IF(AND(ISNUMBER(Validation!AQ82),Validation!O82=Approved),Validation!AQ82,"")</f>
        <v/>
      </c>
      <c r="L77" s="683">
        <f>IF(AND(ISNUMBER(Validation!AR82),Validation!Q82=Approved),Validation!AR82,"")</f>
        <v>1225.6839517125513</v>
      </c>
      <c r="M77" s="684" t="str">
        <f>IF(AND(ISNUMBER(Validation!AS82),Validation!S82=Approved),Validation!AS82,"")</f>
        <v/>
      </c>
      <c r="N77" s="683">
        <f>IF(AND(ISNUMBER(Validation!AT82),Validation!U82=Approved),Validation!AT82,"")</f>
        <v>238.95077293194737</v>
      </c>
      <c r="O77" s="684" t="str">
        <f>IF(AND(ISNUMBER(Validation!AU82),Validation!W82=Approved),Validation!AU82,"")</f>
        <v/>
      </c>
      <c r="P77" s="683">
        <f>IF(AND(ISNUMBER(Validation!AV82),Validation!Y82=Approved),Validation!AV82,"")</f>
        <v>206.44290572719322</v>
      </c>
      <c r="Q77" s="679" t="str">
        <f>IF(AND(ISNUMBER(Validation!AW82),Validation!AA82=Approved),Validation!AW82,"")</f>
        <v/>
      </c>
      <c r="R77" s="680">
        <f>IF(AND(ISNUMBER(Validation!AX82),Validation!AC82=Approved),Validation!AX82,"")</f>
        <v>12.837943124269573</v>
      </c>
      <c r="S77" s="679">
        <f>IF(AND(ISNUMBER(Validation!AY82),Validation!AE82=Approved),Validation!AY82,"")</f>
        <v>115.0286042561396</v>
      </c>
      <c r="T77" s="680">
        <f>IF(AND(ISNUMBER(Validation!AZ82),Validation!AG82=Approved),Validation!AZ82,"")</f>
        <v>95.418453782328442</v>
      </c>
      <c r="U77" s="679">
        <f>IF(AND(ISNUMBER(Validation!BA82),Validation!AI82=Approved),Validation!BA82,"")</f>
        <v>97.495629222171402</v>
      </c>
      <c r="V77" s="680">
        <f>IF(AND(ISNUMBER(Validation!BB82),Validation!AK82=Approved),Validation!BB82,"")</f>
        <v>114.95451827448129</v>
      </c>
    </row>
    <row r="78" spans="2:22">
      <c r="B78" s="903"/>
      <c r="C78" s="873"/>
      <c r="D78" s="672" t="s">
        <v>78</v>
      </c>
      <c r="E78" s="603" t="s">
        <v>132</v>
      </c>
      <c r="F78" s="579">
        <f t="shared" si="2"/>
        <v>21.063307897008965</v>
      </c>
      <c r="G78" s="684">
        <f>IF(AND(ISNUMBER(Validation!AM83),Validation!G83=Approved),Validation!AM83,"")</f>
        <v>34.216379117480621</v>
      </c>
      <c r="H78" s="683">
        <f>IF(AND(ISNUMBER(Validation!AN83),Validation!I83=Approved),Validation!AN83,"")</f>
        <v>19.43350294114574</v>
      </c>
      <c r="I78" s="684">
        <f>IF(AND(ISNUMBER(Validation!AO83),Validation!K83=Approved),Validation!AO83,"")</f>
        <v>11.476756111872334</v>
      </c>
      <c r="J78" s="683">
        <f>IF(AND(ISNUMBER(Validation!AP83),Validation!M83=Approved),Validation!AP83,"")</f>
        <v>7.9605424571899137</v>
      </c>
      <c r="K78" s="684" t="str">
        <f>IF(AND(ISNUMBER(Validation!AQ83),Validation!O83=Approved),Validation!AQ83,"")</f>
        <v/>
      </c>
      <c r="L78" s="683">
        <f>IF(AND(ISNUMBER(Validation!AR83),Validation!Q83=Approved),Validation!AR83,"")</f>
        <v>0</v>
      </c>
      <c r="M78" s="684" t="str">
        <f>IF(AND(ISNUMBER(Validation!AS83),Validation!S83=Approved),Validation!AS83,"")</f>
        <v/>
      </c>
      <c r="N78" s="683">
        <f>IF(AND(ISNUMBER(Validation!AT83),Validation!U83=Approved),Validation!AT83,"")</f>
        <v>34.013583613410596</v>
      </c>
      <c r="O78" s="684" t="str">
        <f>IF(AND(ISNUMBER(Validation!AU83),Validation!W83=Approved),Validation!AU83,"")</f>
        <v/>
      </c>
      <c r="P78" s="683">
        <f>IF(AND(ISNUMBER(Validation!AV83),Validation!Y83=Approved),Validation!AV83,"")</f>
        <v>6.2404638844349689</v>
      </c>
      <c r="Q78" s="682" t="str">
        <f>IF(AND(ISNUMBER(Validation!AW83),Validation!AA83=Approved),Validation!AW83,"")</f>
        <v/>
      </c>
      <c r="R78" s="683">
        <f>IF(AND(ISNUMBER(Validation!AX83),Validation!AC83=Approved),Validation!AX83,"")</f>
        <v>12.709388391118036</v>
      </c>
      <c r="S78" s="682">
        <f>IF(AND(ISNUMBER(Validation!AY83),Validation!AE83=Approved),Validation!AY83,"")</f>
        <v>46.158780788313109</v>
      </c>
      <c r="T78" s="683">
        <f>IF(AND(ISNUMBER(Validation!AZ83),Validation!AG83=Approved),Validation!AZ83,"")</f>
        <v>36.805452017461427</v>
      </c>
      <c r="U78" s="682">
        <f>IF(AND(ISNUMBER(Validation!BA83),Validation!AI83=Approved),Validation!BA83,"")</f>
        <v>1.2477746496884008</v>
      </c>
      <c r="V78" s="683">
        <f>IF(AND(ISNUMBER(Validation!BB83),Validation!AK83=Approved),Validation!BB83,"")</f>
        <v>2.5022142704259802</v>
      </c>
    </row>
    <row r="79" spans="2:22">
      <c r="B79" s="903"/>
      <c r="C79" s="873"/>
      <c r="D79" s="672" t="s">
        <v>134</v>
      </c>
      <c r="E79" s="603" t="s">
        <v>133</v>
      </c>
      <c r="F79" s="579" t="str">
        <f t="shared" si="2"/>
        <v/>
      </c>
      <c r="G79" s="684" t="str">
        <f>IF(AND(ISNUMBER(Validation!AM84),Validation!G84=Approved),Validation!AM84,"")</f>
        <v/>
      </c>
      <c r="H79" s="683" t="str">
        <f>IF(AND(ISNUMBER(Validation!AN84),Validation!I84=Approved),Validation!AN84,"")</f>
        <v/>
      </c>
      <c r="I79" s="684" t="str">
        <f>IF(AND(ISNUMBER(Validation!AO84),Validation!K84=Approved),Validation!AO84,"")</f>
        <v/>
      </c>
      <c r="J79" s="683" t="str">
        <f>IF(AND(ISNUMBER(Validation!AP84),Validation!M84=Approved),Validation!AP84,"")</f>
        <v/>
      </c>
      <c r="K79" s="684" t="str">
        <f>IF(AND(ISNUMBER(Validation!AQ84),Validation!O84=Approved),Validation!AQ84,"")</f>
        <v/>
      </c>
      <c r="L79" s="683" t="str">
        <f>IF(AND(ISNUMBER(Validation!AR84),Validation!Q84=Approved),Validation!AR84,"")</f>
        <v/>
      </c>
      <c r="M79" s="684" t="str">
        <f>IF(AND(ISNUMBER(Validation!AS84),Validation!S84=Approved),Validation!AS84,"")</f>
        <v/>
      </c>
      <c r="N79" s="683" t="str">
        <f>IF(AND(ISNUMBER(Validation!AT84),Validation!U84=Approved),Validation!AT84,"")</f>
        <v/>
      </c>
      <c r="O79" s="684" t="str">
        <f>IF(AND(ISNUMBER(Validation!AU84),Validation!W84=Approved),Validation!AU84,"")</f>
        <v/>
      </c>
      <c r="P79" s="683" t="str">
        <f>IF(AND(ISNUMBER(Validation!AV84),Validation!Y84=Approved),Validation!AV84,"")</f>
        <v/>
      </c>
      <c r="Q79" s="682" t="str">
        <f>IF(AND(ISNUMBER(Validation!AW84),Validation!AA84=Approved),Validation!AW84,"")</f>
        <v/>
      </c>
      <c r="R79" s="683" t="str">
        <f>IF(AND(ISNUMBER(Validation!AX84),Validation!AC84=Approved),Validation!AX84,"")</f>
        <v/>
      </c>
      <c r="S79" s="682" t="str">
        <f>IF(AND(ISNUMBER(Validation!AY84),Validation!AE84=Approved),Validation!AY84,"")</f>
        <v/>
      </c>
      <c r="T79" s="683" t="str">
        <f>IF(AND(ISNUMBER(Validation!AZ84),Validation!AG84=Approved),Validation!AZ84,"")</f>
        <v/>
      </c>
      <c r="U79" s="682" t="str">
        <f>IF(AND(ISNUMBER(Validation!BA84),Validation!AI84=Approved),Validation!BA84,"")</f>
        <v/>
      </c>
      <c r="V79" s="683" t="str">
        <f>IF(AND(ISNUMBER(Validation!BB84),Validation!AK84=Approved),Validation!BB84,"")</f>
        <v/>
      </c>
    </row>
    <row r="80" spans="2:22">
      <c r="B80" s="904"/>
      <c r="C80" s="874"/>
      <c r="D80" s="674" t="s">
        <v>172</v>
      </c>
      <c r="E80" s="615" t="s">
        <v>135</v>
      </c>
      <c r="F80" s="690">
        <f t="shared" si="2"/>
        <v>59.400270068532699</v>
      </c>
      <c r="G80" s="687">
        <f>IF(AND(ISNUMBER(Validation!AM85),Validation!G85=Approved),Validation!AM85,"")</f>
        <v>0</v>
      </c>
      <c r="H80" s="688">
        <f>IF(AND(ISNUMBER(Validation!AN85),Validation!I85=Approved),Validation!AN85,"")</f>
        <v>0</v>
      </c>
      <c r="I80" s="689">
        <f>IF(AND(ISNUMBER(Validation!AO85),Validation!K85=Approved),Validation!AO85,"")</f>
        <v>0</v>
      </c>
      <c r="J80" s="688">
        <f>IF(AND(ISNUMBER(Validation!AP85),Validation!M85=Approved),Validation!AP85,"")</f>
        <v>0</v>
      </c>
      <c r="K80" s="687" t="str">
        <f>IF(AND(ISNUMBER(Validation!AQ85),Validation!O85=Approved),Validation!AQ85,"")</f>
        <v/>
      </c>
      <c r="L80" s="688">
        <f>IF(AND(ISNUMBER(Validation!AR85),Validation!Q85=Approved),Validation!AR85,"")</f>
        <v>0</v>
      </c>
      <c r="M80" s="687" t="str">
        <f>IF(AND(ISNUMBER(Validation!AS85),Validation!S85=Approved),Validation!AS85,"")</f>
        <v/>
      </c>
      <c r="N80" s="688">
        <f>IF(AND(ISNUMBER(Validation!AT85),Validation!U85=Approved),Validation!AT85,"")</f>
        <v>489.88117279691988</v>
      </c>
      <c r="O80" s="687" t="str">
        <f>IF(AND(ISNUMBER(Validation!AU85),Validation!W85=Approved),Validation!AU85,"")</f>
        <v/>
      </c>
      <c r="P80" s="688">
        <f>IF(AND(ISNUMBER(Validation!AV85),Validation!Y85=Approved),Validation!AV85,"")</f>
        <v>0</v>
      </c>
      <c r="Q80" s="689" t="str">
        <f>IF(AND(ISNUMBER(Validation!AW85),Validation!AA85=Approved),Validation!AW85,"")</f>
        <v/>
      </c>
      <c r="R80" s="688" t="str">
        <f>IF(AND(ISNUMBER(Validation!AX85),Validation!AC85=Approved),Validation!AX85,"")</f>
        <v/>
      </c>
      <c r="S80" s="689">
        <f>IF(AND(ISNUMBER(Validation!AY85),Validation!AE85=Approved),Validation!AY85,"")</f>
        <v>0.12809051169534616</v>
      </c>
      <c r="T80" s="688">
        <f>IF(AND(ISNUMBER(Validation!AZ85),Validation!AG85=Approved),Validation!AZ85,"")</f>
        <v>0.90843842209100323</v>
      </c>
      <c r="U80" s="689">
        <f>IF(AND(ISNUMBER(Validation!BA85),Validation!AI85=Approved),Validation!BA85,"")</f>
        <v>0.83918934309457061</v>
      </c>
      <c r="V80" s="688">
        <f>IF(AND(ISNUMBER(Validation!BB85),Validation!AK85=Approved),Validation!BB85,"")</f>
        <v>0.22664984333568655</v>
      </c>
    </row>
  </sheetData>
  <mergeCells count="31">
    <mergeCell ref="S3:T3"/>
    <mergeCell ref="U3:V3"/>
    <mergeCell ref="B9:B11"/>
    <mergeCell ref="C9:C11"/>
    <mergeCell ref="B14:B37"/>
    <mergeCell ref="C14:C37"/>
    <mergeCell ref="G3:H3"/>
    <mergeCell ref="I3:J3"/>
    <mergeCell ref="K3:L3"/>
    <mergeCell ref="M3:N3"/>
    <mergeCell ref="O3:P3"/>
    <mergeCell ref="Q3:R3"/>
    <mergeCell ref="F3:F4"/>
    <mergeCell ref="B77:B80"/>
    <mergeCell ref="C77:C80"/>
    <mergeCell ref="B48:B50"/>
    <mergeCell ref="C48:C50"/>
    <mergeCell ref="B51:B54"/>
    <mergeCell ref="C51:C54"/>
    <mergeCell ref="B55:B64"/>
    <mergeCell ref="C55:C64"/>
    <mergeCell ref="B65:B73"/>
    <mergeCell ref="C65:C73"/>
    <mergeCell ref="B74:B76"/>
    <mergeCell ref="C74:C76"/>
    <mergeCell ref="B39:B40"/>
    <mergeCell ref="C39:C40"/>
    <mergeCell ref="B41:B44"/>
    <mergeCell ref="C41:C44"/>
    <mergeCell ref="B45:B47"/>
    <mergeCell ref="C45:C4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AD121"/>
  <sheetViews>
    <sheetView zoomScale="70" zoomScaleNormal="70" workbookViewId="0">
      <pane ySplit="4" topLeftCell="A5" activePane="bottomLeft" state="frozen"/>
      <selection pane="bottomLeft" activeCell="A5" sqref="A5"/>
    </sheetView>
  </sheetViews>
  <sheetFormatPr defaultColWidth="9.140625" defaultRowHeight="12.75"/>
  <cols>
    <col min="1" max="1" width="69.85546875" style="36" customWidth="1"/>
    <col min="2" max="2" width="10" style="36" customWidth="1"/>
    <col min="3" max="3" width="10.85546875" style="36" customWidth="1"/>
    <col min="4" max="5" width="9.28515625" style="36" customWidth="1"/>
    <col min="6" max="6" width="10.85546875" style="36" customWidth="1"/>
    <col min="7" max="9" width="9.28515625" style="36" customWidth="1"/>
    <col min="10" max="10" width="2.28515625" style="36" customWidth="1"/>
    <col min="11" max="11" width="10.7109375" style="36" customWidth="1"/>
    <col min="12" max="12" width="10.28515625" style="36" customWidth="1"/>
    <col min="13" max="13" width="11.42578125" style="36" customWidth="1"/>
    <col min="14" max="14" width="11" style="36" customWidth="1"/>
    <col min="15" max="15" width="10.28515625" style="36" customWidth="1"/>
    <col min="16" max="16" width="11.42578125" style="36" customWidth="1"/>
    <col min="17" max="17" width="11" style="36" customWidth="1"/>
    <col min="18" max="18" width="10.28515625" style="36" customWidth="1"/>
    <col min="19" max="19" width="11.42578125" style="36" customWidth="1"/>
    <col min="20" max="20" width="11" style="36" customWidth="1"/>
    <col min="21" max="21" width="10.28515625" style="36" customWidth="1"/>
    <col min="22" max="22" width="11.42578125" style="36" customWidth="1"/>
    <col min="23" max="23" width="11" style="36" customWidth="1"/>
    <col min="24" max="24" width="10.28515625" style="36" customWidth="1"/>
    <col min="25" max="25" width="11.42578125" style="36" customWidth="1"/>
    <col min="26" max="26" width="11" style="36" customWidth="1"/>
    <col min="27" max="27" width="10.28515625" style="36" customWidth="1"/>
    <col min="28" max="28" width="11.42578125" style="36" customWidth="1"/>
    <col min="29" max="29" width="11" style="36" customWidth="1"/>
    <col min="30" max="16384" width="9.140625" style="36"/>
  </cols>
  <sheetData>
    <row r="1" spans="1:30" s="193" customFormat="1" ht="21">
      <c r="A1" s="195" t="s">
        <v>824</v>
      </c>
      <c r="E1" s="15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row>
    <row r="2" spans="1:30" s="200" customFormat="1" ht="5.25" customHeight="1">
      <c r="C2" s="28"/>
      <c r="D2" s="29"/>
      <c r="E2" s="202"/>
      <c r="F2" s="31"/>
      <c r="G2" s="28"/>
      <c r="I2" s="31"/>
      <c r="J2" s="28"/>
      <c r="L2" s="31"/>
      <c r="M2" s="28"/>
      <c r="O2" s="31"/>
      <c r="P2" s="28"/>
      <c r="R2" s="31"/>
      <c r="S2" s="28"/>
      <c r="U2" s="31"/>
      <c r="V2" s="28"/>
      <c r="X2" s="31"/>
      <c r="Y2" s="28"/>
      <c r="AA2" s="31"/>
      <c r="AB2" s="28"/>
    </row>
    <row r="3" spans="1:30" s="229" customFormat="1">
      <c r="A3" s="234" t="s">
        <v>463</v>
      </c>
      <c r="B3" s="235" t="s">
        <v>464</v>
      </c>
      <c r="C3" s="236" t="s">
        <v>465</v>
      </c>
      <c r="D3" s="29"/>
      <c r="E3" s="237"/>
      <c r="G3" s="236"/>
      <c r="I3" s="238" t="s">
        <v>466</v>
      </c>
      <c r="J3" s="236" t="s">
        <v>467</v>
      </c>
      <c r="M3" s="239"/>
      <c r="N3" s="249" t="s">
        <v>470</v>
      </c>
      <c r="P3" s="236"/>
      <c r="Q3" s="236"/>
      <c r="R3" s="236"/>
      <c r="S3" s="236"/>
      <c r="V3" s="236"/>
      <c r="Y3" s="236"/>
      <c r="AB3" s="236"/>
    </row>
    <row r="4" spans="1:30" s="200" customFormat="1" ht="5.25" customHeight="1">
      <c r="C4" s="28"/>
      <c r="D4" s="29"/>
      <c r="E4" s="202"/>
      <c r="F4" s="31"/>
      <c r="G4" s="28"/>
      <c r="I4" s="31"/>
      <c r="J4" s="28"/>
      <c r="L4" s="31"/>
      <c r="M4" s="28"/>
      <c r="O4" s="31"/>
      <c r="P4" s="28"/>
      <c r="R4" s="31"/>
      <c r="S4" s="28"/>
      <c r="U4" s="31"/>
      <c r="V4" s="28"/>
      <c r="X4" s="31"/>
      <c r="Y4" s="28"/>
      <c r="AA4" s="31"/>
      <c r="AB4" s="28"/>
    </row>
    <row r="5" spans="1:30" s="27" customFormat="1" ht="15.75">
      <c r="A5" s="228" t="s">
        <v>446</v>
      </c>
      <c r="B5" s="164" t="s">
        <v>426</v>
      </c>
      <c r="C5" s="164" t="s">
        <v>425</v>
      </c>
      <c r="D5" s="164" t="s">
        <v>427</v>
      </c>
      <c r="E5" s="164" t="s">
        <v>428</v>
      </c>
      <c r="F5" s="164" t="s">
        <v>429</v>
      </c>
      <c r="G5" s="164" t="s">
        <v>431</v>
      </c>
      <c r="H5" s="164" t="s">
        <v>432</v>
      </c>
      <c r="I5" s="164" t="s">
        <v>430</v>
      </c>
      <c r="K5" s="168" t="s">
        <v>451</v>
      </c>
    </row>
    <row r="6" spans="1:30">
      <c r="A6" s="204">
        <v>41334</v>
      </c>
      <c r="B6" s="240">
        <v>379935</v>
      </c>
      <c r="C6" s="241">
        <v>7382844</v>
      </c>
      <c r="D6" s="241">
        <v>239481</v>
      </c>
      <c r="E6" s="241">
        <v>4635265</v>
      </c>
      <c r="F6" s="241">
        <v>1667187</v>
      </c>
      <c r="G6" s="241">
        <v>512971</v>
      </c>
      <c r="H6" s="241">
        <v>5714709</v>
      </c>
      <c r="I6" s="242">
        <v>2502415</v>
      </c>
      <c r="K6" s="159" t="s">
        <v>814</v>
      </c>
    </row>
    <row r="7" spans="1:30">
      <c r="A7" s="203">
        <v>41518</v>
      </c>
      <c r="B7" s="243">
        <v>382844</v>
      </c>
      <c r="C7" s="244">
        <v>7438375</v>
      </c>
      <c r="D7" s="244">
        <v>242212</v>
      </c>
      <c r="E7" s="244">
        <v>4674603</v>
      </c>
      <c r="F7" s="244">
        <v>1674555</v>
      </c>
      <c r="G7" s="244">
        <v>513400</v>
      </c>
      <c r="H7" s="244">
        <v>5768140</v>
      </c>
      <c r="I7" s="245">
        <v>2536953</v>
      </c>
    </row>
    <row r="9" spans="1:30" ht="15.75">
      <c r="A9" s="228" t="s">
        <v>434</v>
      </c>
      <c r="K9" s="168" t="s">
        <v>451</v>
      </c>
    </row>
    <row r="10" spans="1:30">
      <c r="A10" s="164" t="s">
        <v>440</v>
      </c>
      <c r="B10" s="692">
        <v>14.037000000000001</v>
      </c>
      <c r="K10" s="373" t="s">
        <v>636</v>
      </c>
    </row>
    <row r="11" spans="1:30">
      <c r="A11" s="164" t="s">
        <v>435</v>
      </c>
      <c r="B11" s="693">
        <v>22172469</v>
      </c>
      <c r="K11" s="159" t="s">
        <v>433</v>
      </c>
    </row>
    <row r="12" spans="1:30">
      <c r="A12" s="164" t="s">
        <v>438</v>
      </c>
      <c r="B12" s="693">
        <v>364833</v>
      </c>
      <c r="K12" s="159" t="s">
        <v>433</v>
      </c>
    </row>
    <row r="13" spans="1:30">
      <c r="A13" s="164" t="s">
        <v>436</v>
      </c>
      <c r="B13" s="167">
        <v>365</v>
      </c>
      <c r="K13" s="166"/>
    </row>
    <row r="14" spans="1:30">
      <c r="A14" s="164" t="s">
        <v>437</v>
      </c>
      <c r="B14" s="694">
        <v>0.1</v>
      </c>
      <c r="K14" s="166" t="s">
        <v>441</v>
      </c>
    </row>
    <row r="15" spans="1:30">
      <c r="A15" s="164" t="s">
        <v>439</v>
      </c>
      <c r="B15" s="231">
        <f>B10/(B11-B12)/B13*1000000000</f>
        <v>1.7634893688878217</v>
      </c>
      <c r="C15" s="166"/>
    </row>
    <row r="16" spans="1:30">
      <c r="A16" s="164" t="s">
        <v>442</v>
      </c>
      <c r="B16" s="231">
        <f>B15*(1-B14)</f>
        <v>1.5871404319990396</v>
      </c>
      <c r="C16" s="166"/>
    </row>
    <row r="17" spans="1:11">
      <c r="A17" s="164" t="s">
        <v>443</v>
      </c>
      <c r="B17" s="246">
        <f>B16*B13/1000/2</f>
        <v>0.28965312883982469</v>
      </c>
    </row>
    <row r="19" spans="1:11" ht="15.75">
      <c r="A19" s="228" t="s">
        <v>462</v>
      </c>
      <c r="K19" s="215"/>
    </row>
    <row r="20" spans="1:11">
      <c r="A20" s="227" t="s">
        <v>460</v>
      </c>
      <c r="B20" s="225" t="s">
        <v>837</v>
      </c>
    </row>
    <row r="21" spans="1:11">
      <c r="A21" s="227"/>
      <c r="B21" s="225" t="s">
        <v>838</v>
      </c>
    </row>
    <row r="22" spans="1:11">
      <c r="B22" s="225" t="s">
        <v>839</v>
      </c>
    </row>
    <row r="23" spans="1:11">
      <c r="A23" s="233" t="s">
        <v>133</v>
      </c>
      <c r="K23" s="168" t="s">
        <v>451</v>
      </c>
    </row>
    <row r="24" spans="1:11">
      <c r="A24" s="224" t="s">
        <v>455</v>
      </c>
      <c r="B24" s="167">
        <v>8</v>
      </c>
      <c r="K24" s="223" t="s">
        <v>456</v>
      </c>
    </row>
    <row r="25" spans="1:11">
      <c r="B25" s="164" t="s">
        <v>426</v>
      </c>
      <c r="C25" s="164" t="s">
        <v>425</v>
      </c>
      <c r="D25" s="164" t="s">
        <v>427</v>
      </c>
      <c r="E25" s="164" t="s">
        <v>428</v>
      </c>
      <c r="F25" s="164" t="s">
        <v>429</v>
      </c>
      <c r="G25" s="164" t="s">
        <v>431</v>
      </c>
      <c r="H25" s="164" t="s">
        <v>432</v>
      </c>
      <c r="I25" s="164" t="s">
        <v>430</v>
      </c>
    </row>
    <row r="26" spans="1:11">
      <c r="A26" s="164" t="s">
        <v>457</v>
      </c>
      <c r="B26" s="693">
        <v>403147</v>
      </c>
      <c r="C26" s="693">
        <v>12620986</v>
      </c>
      <c r="D26" s="693">
        <v>673660</v>
      </c>
      <c r="E26" s="693">
        <v>11006907</v>
      </c>
      <c r="F26" s="693">
        <v>3598172</v>
      </c>
      <c r="G26" s="693">
        <v>1242732</v>
      </c>
      <c r="H26" s="693">
        <v>10514094</v>
      </c>
      <c r="I26" s="693">
        <v>8408678</v>
      </c>
      <c r="K26" s="223" t="s">
        <v>454</v>
      </c>
    </row>
    <row r="27" spans="1:11">
      <c r="A27" s="164" t="s">
        <v>458</v>
      </c>
      <c r="B27" s="232">
        <f>B26*$B$24/1000</f>
        <v>3225.1759999999999</v>
      </c>
      <c r="C27" s="232">
        <f t="shared" ref="C27:I27" si="0">C26*$B$24/1000</f>
        <v>100967.88800000001</v>
      </c>
      <c r="D27" s="232">
        <f t="shared" si="0"/>
        <v>5389.28</v>
      </c>
      <c r="E27" s="232">
        <f t="shared" si="0"/>
        <v>88055.255999999994</v>
      </c>
      <c r="F27" s="232">
        <f t="shared" si="0"/>
        <v>28785.376</v>
      </c>
      <c r="G27" s="232">
        <f t="shared" si="0"/>
        <v>9941.8559999999998</v>
      </c>
      <c r="H27" s="232">
        <f t="shared" si="0"/>
        <v>84112.751999999993</v>
      </c>
      <c r="I27" s="232">
        <f t="shared" si="0"/>
        <v>67269.423999999999</v>
      </c>
    </row>
    <row r="28" spans="1:11">
      <c r="A28" s="164" t="s">
        <v>840</v>
      </c>
      <c r="B28" s="693">
        <v>364833</v>
      </c>
      <c r="C28" s="693">
        <v>7179891</v>
      </c>
      <c r="D28" s="693">
        <v>230299</v>
      </c>
      <c r="E28" s="693">
        <v>4436882</v>
      </c>
      <c r="F28" s="693">
        <v>1632482</v>
      </c>
      <c r="G28" s="693">
        <v>510219</v>
      </c>
      <c r="H28" s="693">
        <v>5495711</v>
      </c>
      <c r="I28" s="693">
        <v>2319063</v>
      </c>
      <c r="K28" s="159" t="s">
        <v>814</v>
      </c>
    </row>
    <row r="29" spans="1:11">
      <c r="A29" s="164" t="s">
        <v>459</v>
      </c>
      <c r="B29" s="327">
        <f t="shared" ref="B29:I29" si="1">B27/2*AVERAGE(B6:B7)/B28</f>
        <v>1685.7689162603165</v>
      </c>
      <c r="C29" s="424">
        <f t="shared" si="1"/>
        <v>52106.194231063957</v>
      </c>
      <c r="D29" s="424">
        <f t="shared" si="1"/>
        <v>2818.0522397405111</v>
      </c>
      <c r="E29" s="424">
        <f t="shared" si="1"/>
        <v>46191.380008878303</v>
      </c>
      <c r="F29" s="424">
        <f t="shared" si="1"/>
        <v>14731.142512596158</v>
      </c>
      <c r="G29" s="424">
        <f t="shared" si="1"/>
        <v>4999.8298204182911</v>
      </c>
      <c r="H29" s="424">
        <f t="shared" si="1"/>
        <v>43936.718569737743</v>
      </c>
      <c r="I29" s="326">
        <f t="shared" si="1"/>
        <v>36544.434399155172</v>
      </c>
    </row>
    <row r="30" spans="1:11">
      <c r="A30" s="233" t="s">
        <v>849</v>
      </c>
    </row>
    <row r="31" spans="1:11">
      <c r="A31" s="727" t="s">
        <v>850</v>
      </c>
      <c r="B31" s="537">
        <f>F54</f>
        <v>51768.000624285101</v>
      </c>
      <c r="C31" s="537">
        <f>F55</f>
        <v>384367.16809422767</v>
      </c>
      <c r="D31" s="537">
        <f>F56</f>
        <v>5101.1186174343738</v>
      </c>
      <c r="E31" s="537">
        <f>F48</f>
        <v>311874.2944610272</v>
      </c>
      <c r="F31" s="537">
        <f>F49</f>
        <v>135455.27217573221</v>
      </c>
      <c r="G31" s="537">
        <f>F50</f>
        <v>30333.673697270471</v>
      </c>
      <c r="H31" s="537">
        <f>F51</f>
        <v>429502.22222222225</v>
      </c>
      <c r="I31" s="537">
        <f>F57</f>
        <v>120481.25821296773</v>
      </c>
      <c r="J31" s="536"/>
      <c r="K31" s="536" t="s">
        <v>712</v>
      </c>
    </row>
    <row r="32" spans="1:11">
      <c r="A32" s="164" t="s">
        <v>461</v>
      </c>
      <c r="B32" s="327">
        <f t="shared" ref="B32:I32" si="2">B31/2</f>
        <v>25884.000312142551</v>
      </c>
      <c r="C32" s="424">
        <f t="shared" si="2"/>
        <v>192183.58404711384</v>
      </c>
      <c r="D32" s="424">
        <f t="shared" si="2"/>
        <v>2550.5593087171869</v>
      </c>
      <c r="E32" s="424">
        <f t="shared" si="2"/>
        <v>155937.1472305136</v>
      </c>
      <c r="F32" s="424">
        <f t="shared" si="2"/>
        <v>67727.636087866107</v>
      </c>
      <c r="G32" s="424">
        <f t="shared" si="2"/>
        <v>15166.836848635236</v>
      </c>
      <c r="H32" s="424">
        <f t="shared" si="2"/>
        <v>214751.11111111112</v>
      </c>
      <c r="I32" s="326">
        <f t="shared" si="2"/>
        <v>60240.629106483866</v>
      </c>
      <c r="K32" s="225"/>
    </row>
    <row r="33" spans="1:11">
      <c r="A33" s="233" t="s">
        <v>129</v>
      </c>
    </row>
    <row r="34" spans="1:11">
      <c r="A34" s="764" t="s">
        <v>873</v>
      </c>
      <c r="C34" s="765">
        <v>531100</v>
      </c>
      <c r="K34" s="766" t="s">
        <v>875</v>
      </c>
    </row>
    <row r="35" spans="1:11">
      <c r="A35" s="164" t="s">
        <v>676</v>
      </c>
      <c r="C35" s="501">
        <f>C34/2</f>
        <v>265550</v>
      </c>
      <c r="K35" s="373"/>
    </row>
    <row r="36" spans="1:11">
      <c r="A36" s="374" t="s">
        <v>127</v>
      </c>
    </row>
    <row r="37" spans="1:11">
      <c r="A37" s="764" t="s">
        <v>874</v>
      </c>
      <c r="C37" s="765">
        <v>555300</v>
      </c>
      <c r="K37" s="766" t="s">
        <v>875</v>
      </c>
    </row>
    <row r="38" spans="1:11">
      <c r="A38" s="376"/>
      <c r="E38" s="693">
        <f>352425+654</f>
        <v>353079</v>
      </c>
      <c r="K38" s="766" t="s">
        <v>876</v>
      </c>
    </row>
    <row r="39" spans="1:11">
      <c r="A39" s="164" t="s">
        <v>637</v>
      </c>
      <c r="C39" s="247">
        <f>C37/2</f>
        <v>277650</v>
      </c>
      <c r="E39" s="247">
        <f>E38/2</f>
        <v>176539.5</v>
      </c>
    </row>
    <row r="41" spans="1:11">
      <c r="F41" s="511"/>
    </row>
    <row r="42" spans="1:11" s="513" customFormat="1" ht="15.75">
      <c r="A42" s="213" t="s">
        <v>685</v>
      </c>
    </row>
    <row r="43" spans="1:11" s="187" customFormat="1" ht="15">
      <c r="A43" s="709"/>
      <c r="B43" s="709"/>
      <c r="C43" s="710"/>
      <c r="D43" s="709"/>
      <c r="E43" s="709"/>
      <c r="F43" s="709"/>
    </row>
    <row r="44" spans="1:11" s="187" customFormat="1" ht="15">
      <c r="A44" s="709"/>
      <c r="B44" s="709"/>
      <c r="C44" s="710"/>
      <c r="D44" s="709"/>
      <c r="E44" s="935">
        <v>2013</v>
      </c>
      <c r="F44" s="935"/>
    </row>
    <row r="45" spans="1:11" s="187" customFormat="1" ht="15">
      <c r="A45" s="709"/>
      <c r="B45" s="709"/>
      <c r="C45" s="710"/>
      <c r="D45" s="709"/>
      <c r="E45" s="701" t="s">
        <v>841</v>
      </c>
      <c r="F45" s="722" t="s">
        <v>842</v>
      </c>
    </row>
    <row r="46" spans="1:11" s="187" customFormat="1" ht="15">
      <c r="A46" s="709"/>
      <c r="B46" s="709"/>
      <c r="C46" s="710"/>
      <c r="D46" s="709"/>
      <c r="E46" s="702" t="s">
        <v>843</v>
      </c>
      <c r="F46" s="703" t="s">
        <v>844</v>
      </c>
    </row>
    <row r="47" spans="1:11" s="187" customFormat="1" ht="15">
      <c r="A47" s="709"/>
      <c r="B47" s="709"/>
      <c r="C47" s="710"/>
      <c r="D47" s="712" t="s">
        <v>845</v>
      </c>
      <c r="E47" s="719">
        <v>98130.5</v>
      </c>
      <c r="F47" s="704">
        <f>E47*F60/E60</f>
        <v>436135.16871851275</v>
      </c>
    </row>
    <row r="48" spans="1:11" s="187" customFormat="1" ht="15">
      <c r="A48" s="709"/>
      <c r="B48" s="709"/>
      <c r="C48" s="710"/>
      <c r="D48" s="708" t="s">
        <v>428</v>
      </c>
      <c r="E48" s="719">
        <v>70172</v>
      </c>
      <c r="F48" s="704">
        <f t="shared" ref="F48:F52" si="3">E48*F61/E61</f>
        <v>311874.2944610272</v>
      </c>
    </row>
    <row r="49" spans="1:6" s="187" customFormat="1" ht="15">
      <c r="A49" s="709"/>
      <c r="B49" s="709"/>
      <c r="C49" s="710"/>
      <c r="D49" s="708" t="s">
        <v>429</v>
      </c>
      <c r="E49" s="719">
        <v>30477.5</v>
      </c>
      <c r="F49" s="704">
        <f t="shared" si="3"/>
        <v>135455.27217573221</v>
      </c>
    </row>
    <row r="50" spans="1:6" s="187" customFormat="1" ht="15">
      <c r="A50" s="709"/>
      <c r="B50" s="709"/>
      <c r="C50" s="710"/>
      <c r="D50" s="708" t="s">
        <v>431</v>
      </c>
      <c r="E50" s="719">
        <v>6825.5</v>
      </c>
      <c r="F50" s="704">
        <f t="shared" si="3"/>
        <v>30333.673697270471</v>
      </c>
    </row>
    <row r="51" spans="1:6" s="187" customFormat="1" ht="15">
      <c r="A51" s="709"/>
      <c r="B51" s="709"/>
      <c r="C51" s="710"/>
      <c r="D51" s="708" t="s">
        <v>432</v>
      </c>
      <c r="E51" s="719">
        <v>96638</v>
      </c>
      <c r="F51" s="704">
        <f t="shared" si="3"/>
        <v>429502.22222222225</v>
      </c>
    </row>
    <row r="52" spans="1:6" s="187" customFormat="1" ht="15">
      <c r="A52" s="709"/>
      <c r="B52" s="709"/>
      <c r="C52" s="710"/>
      <c r="D52" s="708" t="s">
        <v>846</v>
      </c>
      <c r="E52" s="719">
        <v>28256.5</v>
      </c>
      <c r="F52" s="704">
        <f t="shared" si="3"/>
        <v>125582.37683040211</v>
      </c>
    </row>
    <row r="53" spans="1:6" s="187" customFormat="1" ht="15">
      <c r="A53" s="709"/>
      <c r="B53" s="709"/>
      <c r="C53" s="710"/>
      <c r="D53" s="711" t="s">
        <v>682</v>
      </c>
      <c r="E53" s="720">
        <f>SUM(E47:E52)</f>
        <v>330500</v>
      </c>
      <c r="F53" s="705">
        <f>SUM(F47:F52)</f>
        <v>1468883.008105167</v>
      </c>
    </row>
    <row r="54" spans="1:6" s="187" customFormat="1" ht="15">
      <c r="A54" s="709"/>
      <c r="B54" s="709"/>
      <c r="C54" s="710"/>
      <c r="D54" s="712" t="s">
        <v>426</v>
      </c>
      <c r="E54" s="706"/>
      <c r="F54" s="704">
        <f>F68/F60*F47</f>
        <v>51768.000624285101</v>
      </c>
    </row>
    <row r="55" spans="1:6" s="187" customFormat="1" ht="15">
      <c r="A55" s="709"/>
      <c r="B55" s="709"/>
      <c r="C55" s="710"/>
      <c r="D55" s="712" t="s">
        <v>425</v>
      </c>
      <c r="E55" s="706"/>
      <c r="F55" s="704">
        <f>F47-F54</f>
        <v>384367.16809422767</v>
      </c>
    </row>
    <row r="56" spans="1:6" s="187" customFormat="1" ht="15">
      <c r="A56" s="709"/>
      <c r="B56" s="709"/>
      <c r="C56" s="710"/>
      <c r="D56" s="712" t="s">
        <v>427</v>
      </c>
      <c r="E56" s="706"/>
      <c r="F56" s="704">
        <f>F69/F65*F52</f>
        <v>5101.1186174343738</v>
      </c>
    </row>
    <row r="57" spans="1:6" s="187" customFormat="1" ht="15">
      <c r="A57" s="709"/>
      <c r="B57" s="709"/>
      <c r="C57" s="710"/>
      <c r="D57" s="712" t="s">
        <v>430</v>
      </c>
      <c r="E57" s="706"/>
      <c r="F57" s="704">
        <f>F52-F56</f>
        <v>120481.25821296773</v>
      </c>
    </row>
    <row r="58" spans="1:6" s="187" customFormat="1" ht="15">
      <c r="A58" s="709"/>
      <c r="B58" s="709"/>
      <c r="C58" s="710"/>
      <c r="D58" s="709"/>
      <c r="E58" s="935">
        <v>2010</v>
      </c>
      <c r="F58" s="935"/>
    </row>
    <row r="59" spans="1:6" s="187" customFormat="1" ht="15">
      <c r="A59" s="709"/>
      <c r="B59" s="709"/>
      <c r="C59" s="710"/>
      <c r="D59" s="709"/>
      <c r="E59" s="702" t="s">
        <v>843</v>
      </c>
      <c r="F59" s="703" t="s">
        <v>843</v>
      </c>
    </row>
    <row r="60" spans="1:6" s="187" customFormat="1" ht="15">
      <c r="A60" s="709"/>
      <c r="B60" s="709"/>
      <c r="C60" s="710"/>
      <c r="D60" s="712" t="s">
        <v>845</v>
      </c>
      <c r="E60" s="707">
        <v>84558</v>
      </c>
      <c r="F60" s="704">
        <v>375813</v>
      </c>
    </row>
    <row r="61" spans="1:6" s="187" customFormat="1" ht="15">
      <c r="A61" s="709"/>
      <c r="B61" s="709"/>
      <c r="C61" s="710"/>
      <c r="D61" s="708" t="s">
        <v>428</v>
      </c>
      <c r="E61" s="707">
        <v>68009</v>
      </c>
      <c r="F61" s="704">
        <v>302261</v>
      </c>
    </row>
    <row r="62" spans="1:6" s="187" customFormat="1" ht="15">
      <c r="A62" s="709"/>
      <c r="B62" s="709"/>
      <c r="C62" s="710"/>
      <c r="D62" s="708" t="s">
        <v>429</v>
      </c>
      <c r="E62" s="707">
        <v>23900</v>
      </c>
      <c r="F62" s="704">
        <v>106222</v>
      </c>
    </row>
    <row r="63" spans="1:6" s="187" customFormat="1" ht="15">
      <c r="A63" s="709"/>
      <c r="B63" s="709"/>
      <c r="C63" s="710"/>
      <c r="D63" s="708" t="s">
        <v>431</v>
      </c>
      <c r="E63" s="707">
        <v>8060</v>
      </c>
      <c r="F63" s="704">
        <v>35820</v>
      </c>
    </row>
    <row r="64" spans="1:6" s="187" customFormat="1" ht="15">
      <c r="A64" s="709"/>
      <c r="B64" s="709"/>
      <c r="C64" s="710"/>
      <c r="D64" s="708" t="s">
        <v>432</v>
      </c>
      <c r="E64" s="707">
        <v>93465</v>
      </c>
      <c r="F64" s="704">
        <v>415400</v>
      </c>
    </row>
    <row r="65" spans="1:15" s="187" customFormat="1" ht="15">
      <c r="A65" s="709"/>
      <c r="B65" s="709"/>
      <c r="C65" s="710"/>
      <c r="D65" s="708" t="s">
        <v>846</v>
      </c>
      <c r="E65" s="707">
        <v>25814</v>
      </c>
      <c r="F65" s="704">
        <v>114727</v>
      </c>
    </row>
    <row r="66" spans="1:15" s="187" customFormat="1" ht="15">
      <c r="A66" s="709"/>
      <c r="B66" s="709"/>
      <c r="C66" s="710"/>
      <c r="D66" s="711" t="s">
        <v>682</v>
      </c>
      <c r="E66" s="707">
        <v>303805</v>
      </c>
      <c r="F66" s="705">
        <v>1350243</v>
      </c>
    </row>
    <row r="67" spans="1:15" s="187" customFormat="1" ht="15">
      <c r="A67" s="709"/>
      <c r="B67" s="709"/>
      <c r="C67" s="710"/>
      <c r="D67" s="709"/>
      <c r="E67" s="709"/>
      <c r="F67" s="703" t="s">
        <v>847</v>
      </c>
    </row>
    <row r="68" spans="1:15" s="187" customFormat="1" ht="15">
      <c r="A68" s="709"/>
      <c r="B68" s="709"/>
      <c r="C68" s="710"/>
      <c r="D68" s="712" t="s">
        <v>426</v>
      </c>
      <c r="E68" s="709"/>
      <c r="F68" s="704">
        <v>44607.9312424608</v>
      </c>
    </row>
    <row r="69" spans="1:15" s="187" customFormat="1" ht="15">
      <c r="A69" s="709"/>
      <c r="B69" s="709"/>
      <c r="C69" s="710"/>
      <c r="D69" s="712" t="s">
        <v>427</v>
      </c>
      <c r="E69" s="709"/>
      <c r="F69" s="704">
        <v>4660.1764546370187</v>
      </c>
    </row>
    <row r="70" spans="1:15" s="187" customFormat="1" ht="15"/>
    <row r="71" spans="1:15" s="187" customFormat="1" ht="15">
      <c r="A71" s="514" t="s">
        <v>686</v>
      </c>
      <c r="B71" s="515" t="s">
        <v>687</v>
      </c>
    </row>
    <row r="72" spans="1:15" s="187" customFormat="1" ht="15" customHeight="1">
      <c r="A72" s="516"/>
      <c r="C72" s="936" t="s">
        <v>688</v>
      </c>
      <c r="D72" s="936"/>
      <c r="E72" s="936"/>
      <c r="F72" s="936"/>
      <c r="G72" s="936"/>
      <c r="H72" s="936"/>
      <c r="I72" s="936"/>
      <c r="J72" s="936"/>
      <c r="K72" s="936"/>
      <c r="L72" s="936"/>
      <c r="M72" s="936"/>
      <c r="N72" s="936"/>
      <c r="O72" s="936"/>
    </row>
    <row r="73" spans="1:15" s="187" customFormat="1" ht="15">
      <c r="A73" s="516"/>
      <c r="C73" s="936"/>
      <c r="D73" s="936"/>
      <c r="E73" s="936"/>
      <c r="F73" s="936"/>
      <c r="G73" s="936"/>
      <c r="H73" s="936"/>
      <c r="I73" s="936"/>
      <c r="J73" s="936"/>
      <c r="K73" s="936"/>
      <c r="L73" s="936"/>
      <c r="M73" s="936"/>
      <c r="N73" s="936"/>
      <c r="O73" s="936"/>
    </row>
    <row r="74" spans="1:15" s="187" customFormat="1" ht="15">
      <c r="A74" s="516"/>
      <c r="C74" s="936"/>
      <c r="D74" s="936"/>
      <c r="E74" s="936"/>
      <c r="F74" s="936"/>
      <c r="G74" s="936"/>
      <c r="H74" s="936"/>
      <c r="I74" s="936"/>
      <c r="J74" s="936"/>
      <c r="K74" s="936"/>
      <c r="L74" s="936"/>
      <c r="M74" s="936"/>
      <c r="N74" s="936"/>
      <c r="O74" s="936"/>
    </row>
    <row r="75" spans="1:15" s="187" customFormat="1" ht="15">
      <c r="B75" s="515" t="s">
        <v>689</v>
      </c>
    </row>
    <row r="76" spans="1:15" s="187" customFormat="1" ht="15"/>
    <row r="77" spans="1:15" s="187" customFormat="1" ht="15">
      <c r="A77" s="517" t="s">
        <v>690</v>
      </c>
      <c r="B77" s="518" t="s">
        <v>691</v>
      </c>
      <c r="C77" s="187" t="s">
        <v>692</v>
      </c>
      <c r="D77" s="519"/>
      <c r="E77" s="519"/>
      <c r="F77" s="519"/>
      <c r="G77" s="519"/>
      <c r="H77" s="519"/>
      <c r="I77" s="520"/>
      <c r="J77" s="520"/>
      <c r="K77" s="520"/>
      <c r="L77" s="519"/>
    </row>
    <row r="78" spans="1:15" s="187" customFormat="1" ht="18">
      <c r="A78" s="521"/>
      <c r="B78" s="522" t="s">
        <v>693</v>
      </c>
      <c r="C78" s="522"/>
      <c r="D78" s="523" t="s">
        <v>694</v>
      </c>
      <c r="E78" s="721" t="s">
        <v>848</v>
      </c>
      <c r="G78" s="524"/>
    </row>
    <row r="79" spans="1:15" s="187" customFormat="1" ht="15">
      <c r="A79" s="940" t="s">
        <v>695</v>
      </c>
      <c r="B79" s="932" t="s">
        <v>696</v>
      </c>
      <c r="C79" s="525"/>
      <c r="D79" s="526" t="s">
        <v>697</v>
      </c>
      <c r="E79" s="713">
        <v>204882</v>
      </c>
      <c r="G79" s="520"/>
      <c r="H79" s="520"/>
      <c r="I79" s="520"/>
      <c r="J79" s="520"/>
      <c r="N79" s="527" t="s">
        <v>698</v>
      </c>
    </row>
    <row r="80" spans="1:15" s="187" customFormat="1" ht="15">
      <c r="A80" s="940"/>
      <c r="B80" s="933"/>
      <c r="C80" s="528"/>
      <c r="D80" s="529" t="s">
        <v>699</v>
      </c>
      <c r="E80" s="714">
        <v>76227</v>
      </c>
      <c r="F80" s="931"/>
      <c r="G80" s="931"/>
      <c r="H80" s="520"/>
      <c r="I80" s="520"/>
      <c r="J80" s="520"/>
      <c r="N80" s="187" t="s">
        <v>700</v>
      </c>
    </row>
    <row r="81" spans="1:14" s="187" customFormat="1" ht="15">
      <c r="A81" s="940"/>
      <c r="B81" s="934"/>
      <c r="C81" s="530"/>
      <c r="D81" s="531" t="s">
        <v>701</v>
      </c>
      <c r="E81" s="717"/>
      <c r="F81" s="532"/>
      <c r="G81" s="524"/>
      <c r="H81" s="520"/>
      <c r="I81" s="520"/>
      <c r="J81" s="520"/>
    </row>
    <row r="82" spans="1:14" s="187" customFormat="1" ht="15">
      <c r="A82" s="940"/>
      <c r="B82" s="932" t="s">
        <v>702</v>
      </c>
      <c r="C82" s="525"/>
      <c r="D82" s="526" t="s">
        <v>703</v>
      </c>
      <c r="E82" s="713">
        <v>5316</v>
      </c>
      <c r="G82" s="520"/>
      <c r="H82" s="520"/>
      <c r="I82" s="520"/>
      <c r="J82" s="520"/>
    </row>
    <row r="83" spans="1:14" s="187" customFormat="1" ht="15">
      <c r="A83" s="940"/>
      <c r="B83" s="933"/>
      <c r="C83" s="528"/>
      <c r="D83" s="529" t="s">
        <v>704</v>
      </c>
      <c r="E83" s="714">
        <v>17520</v>
      </c>
      <c r="G83" s="520"/>
      <c r="H83" s="520"/>
      <c r="I83" s="520"/>
      <c r="J83" s="520"/>
    </row>
    <row r="84" spans="1:14" s="187" customFormat="1" ht="15">
      <c r="A84" s="940"/>
      <c r="B84" s="933"/>
      <c r="C84" s="528"/>
      <c r="D84" s="529" t="s">
        <v>705</v>
      </c>
      <c r="E84" s="715"/>
      <c r="G84" s="520"/>
      <c r="H84" s="520"/>
      <c r="I84" s="520"/>
      <c r="J84" s="520"/>
    </row>
    <row r="85" spans="1:14" s="187" customFormat="1" ht="15">
      <c r="A85" s="940"/>
      <c r="B85" s="934"/>
      <c r="C85" s="530"/>
      <c r="D85" s="531" t="s">
        <v>706</v>
      </c>
      <c r="E85" s="716">
        <v>71868</v>
      </c>
      <c r="F85" s="533"/>
      <c r="G85" s="520"/>
      <c r="H85" s="520"/>
      <c r="I85" s="520"/>
      <c r="J85" s="520"/>
    </row>
    <row r="86" spans="1:14" s="187" customFormat="1" ht="15">
      <c r="A86" s="941" t="s">
        <v>707</v>
      </c>
      <c r="B86" s="928" t="s">
        <v>696</v>
      </c>
      <c r="C86" s="525"/>
      <c r="D86" s="526" t="s">
        <v>697</v>
      </c>
      <c r="E86" s="713">
        <v>271084</v>
      </c>
      <c r="G86" s="520"/>
      <c r="H86" s="520"/>
      <c r="I86" s="520"/>
      <c r="J86" s="520"/>
    </row>
    <row r="87" spans="1:14" s="187" customFormat="1" ht="15">
      <c r="A87" s="941"/>
      <c r="B87" s="929"/>
      <c r="C87" s="528"/>
      <c r="D87" s="529" t="s">
        <v>699</v>
      </c>
      <c r="E87" s="714"/>
      <c r="G87" s="534"/>
      <c r="H87" s="534"/>
      <c r="I87" s="534"/>
      <c r="J87" s="534"/>
      <c r="N87" s="718">
        <v>12410</v>
      </c>
    </row>
    <row r="88" spans="1:14" s="187" customFormat="1" ht="15">
      <c r="A88" s="941"/>
      <c r="B88" s="930"/>
      <c r="C88" s="530"/>
      <c r="D88" s="531" t="s">
        <v>701</v>
      </c>
      <c r="E88" s="717"/>
      <c r="N88" s="718">
        <v>72148</v>
      </c>
    </row>
    <row r="89" spans="1:14" s="187" customFormat="1" ht="15">
      <c r="A89" s="941"/>
      <c r="B89" s="928" t="s">
        <v>702</v>
      </c>
      <c r="C89" s="525"/>
      <c r="D89" s="526" t="s">
        <v>703</v>
      </c>
      <c r="E89" s="713">
        <v>25176</v>
      </c>
      <c r="N89" s="718">
        <v>1095</v>
      </c>
    </row>
    <row r="90" spans="1:14" s="187" customFormat="1" ht="15">
      <c r="A90" s="941"/>
      <c r="B90" s="929"/>
      <c r="C90" s="528"/>
      <c r="D90" s="529" t="s">
        <v>704</v>
      </c>
      <c r="E90" s="714"/>
      <c r="N90" s="718">
        <v>68009</v>
      </c>
    </row>
    <row r="91" spans="1:14" s="187" customFormat="1" ht="15">
      <c r="A91" s="941"/>
      <c r="B91" s="929"/>
      <c r="C91" s="528"/>
      <c r="D91" s="529" t="s">
        <v>705</v>
      </c>
      <c r="E91" s="715"/>
      <c r="N91" s="718">
        <v>23900</v>
      </c>
    </row>
    <row r="92" spans="1:14" s="187" customFormat="1" ht="15">
      <c r="A92" s="941"/>
      <c r="B92" s="930"/>
      <c r="C92" s="530"/>
      <c r="D92" s="531" t="s">
        <v>706</v>
      </c>
      <c r="E92" s="716">
        <v>6000</v>
      </c>
      <c r="N92" s="718">
        <v>8059</v>
      </c>
    </row>
    <row r="93" spans="1:14" s="187" customFormat="1" ht="15" customHeight="1">
      <c r="A93" s="941" t="s">
        <v>708</v>
      </c>
      <c r="B93" s="928" t="s">
        <v>696</v>
      </c>
      <c r="C93" s="525"/>
      <c r="D93" s="526" t="s">
        <v>697</v>
      </c>
      <c r="E93" s="713">
        <v>97333</v>
      </c>
      <c r="G93" s="535"/>
      <c r="H93" s="535"/>
      <c r="I93" s="535"/>
      <c r="J93" s="535"/>
      <c r="K93" s="535"/>
      <c r="N93" s="718">
        <v>93466</v>
      </c>
    </row>
    <row r="94" spans="1:14" s="187" customFormat="1" ht="15" customHeight="1">
      <c r="A94" s="941"/>
      <c r="B94" s="929"/>
      <c r="C94" s="528"/>
      <c r="D94" s="529" t="s">
        <v>699</v>
      </c>
      <c r="E94" s="714">
        <v>8889</v>
      </c>
      <c r="G94" s="535"/>
      <c r="H94" s="535"/>
      <c r="I94" s="535"/>
      <c r="J94" s="535"/>
      <c r="K94" s="535"/>
      <c r="N94" s="718">
        <v>24719</v>
      </c>
    </row>
    <row r="95" spans="1:14" s="187" customFormat="1" ht="15.75" customHeight="1">
      <c r="A95" s="941"/>
      <c r="B95" s="930"/>
      <c r="C95" s="530"/>
      <c r="D95" s="531" t="s">
        <v>701</v>
      </c>
      <c r="E95" s="717"/>
      <c r="G95" s="535"/>
      <c r="H95" s="535"/>
      <c r="I95" s="535"/>
      <c r="J95" s="535"/>
      <c r="K95" s="535"/>
    </row>
    <row r="96" spans="1:14" s="187" customFormat="1" ht="15" customHeight="1">
      <c r="A96" s="941"/>
      <c r="B96" s="928" t="s">
        <v>702</v>
      </c>
      <c r="C96" s="525"/>
      <c r="D96" s="526" t="s">
        <v>703</v>
      </c>
      <c r="E96" s="713"/>
      <c r="G96" s="535"/>
      <c r="H96" s="535"/>
      <c r="I96" s="535"/>
      <c r="J96" s="535"/>
      <c r="K96" s="535"/>
    </row>
    <row r="97" spans="1:11" s="187" customFormat="1" ht="15" customHeight="1">
      <c r="A97" s="941"/>
      <c r="B97" s="929"/>
      <c r="C97" s="528"/>
      <c r="D97" s="529" t="s">
        <v>704</v>
      </c>
      <c r="E97" s="714"/>
      <c r="G97" s="535"/>
      <c r="H97" s="535"/>
      <c r="I97" s="535"/>
      <c r="J97" s="535"/>
      <c r="K97" s="535"/>
    </row>
    <row r="98" spans="1:11" s="187" customFormat="1" ht="15" customHeight="1">
      <c r="A98" s="941"/>
      <c r="B98" s="929"/>
      <c r="C98" s="528"/>
      <c r="D98" s="529" t="s">
        <v>705</v>
      </c>
      <c r="E98" s="715"/>
      <c r="G98" s="535"/>
      <c r="H98" s="535"/>
      <c r="I98" s="535"/>
      <c r="J98" s="535"/>
      <c r="K98" s="535"/>
    </row>
    <row r="99" spans="1:11" s="187" customFormat="1" ht="15.75" customHeight="1">
      <c r="A99" s="941"/>
      <c r="B99" s="930"/>
      <c r="C99" s="530"/>
      <c r="D99" s="531" t="s">
        <v>706</v>
      </c>
      <c r="E99" s="716"/>
      <c r="G99" s="535"/>
      <c r="H99" s="535"/>
      <c r="I99" s="535"/>
      <c r="J99" s="535"/>
      <c r="K99" s="535"/>
    </row>
    <row r="100" spans="1:11" s="187" customFormat="1" ht="15" customHeight="1">
      <c r="A100" s="941" t="s">
        <v>709</v>
      </c>
      <c r="B100" s="928" t="s">
        <v>696</v>
      </c>
      <c r="C100" s="525"/>
      <c r="D100" s="526" t="s">
        <v>697</v>
      </c>
      <c r="E100" s="713">
        <v>11055</v>
      </c>
      <c r="G100" s="535"/>
      <c r="H100" s="535"/>
      <c r="I100" s="535"/>
      <c r="J100" s="535"/>
      <c r="K100" s="535"/>
    </row>
    <row r="101" spans="1:11" s="187" customFormat="1" ht="15" customHeight="1">
      <c r="A101" s="941"/>
      <c r="B101" s="929"/>
      <c r="C101" s="528"/>
      <c r="D101" s="529" t="s">
        <v>699</v>
      </c>
      <c r="E101" s="714">
        <v>6930</v>
      </c>
      <c r="G101" s="535"/>
      <c r="H101" s="535"/>
      <c r="I101" s="535"/>
      <c r="J101" s="535"/>
      <c r="K101" s="535"/>
    </row>
    <row r="102" spans="1:11" s="187" customFormat="1" ht="15.75" customHeight="1">
      <c r="A102" s="941"/>
      <c r="B102" s="930"/>
      <c r="C102" s="530"/>
      <c r="D102" s="531" t="s">
        <v>701</v>
      </c>
      <c r="E102" s="717"/>
      <c r="G102" s="535"/>
      <c r="H102" s="535"/>
      <c r="I102" s="535"/>
      <c r="J102" s="535"/>
      <c r="K102" s="535"/>
    </row>
    <row r="103" spans="1:11" s="187" customFormat="1" ht="15" customHeight="1">
      <c r="A103" s="941"/>
      <c r="B103" s="928" t="s">
        <v>702</v>
      </c>
      <c r="C103" s="525"/>
      <c r="D103" s="526" t="s">
        <v>703</v>
      </c>
      <c r="E103" s="713">
        <v>13956</v>
      </c>
      <c r="G103" s="535"/>
      <c r="H103" s="535"/>
      <c r="I103" s="535"/>
      <c r="J103" s="535"/>
      <c r="K103" s="535"/>
    </row>
    <row r="104" spans="1:11" s="187" customFormat="1" ht="15">
      <c r="A104" s="941"/>
      <c r="B104" s="929"/>
      <c r="C104" s="528"/>
      <c r="D104" s="529" t="s">
        <v>704</v>
      </c>
      <c r="E104" s="714"/>
    </row>
    <row r="105" spans="1:11" s="187" customFormat="1" ht="15">
      <c r="A105" s="941"/>
      <c r="B105" s="929"/>
      <c r="C105" s="528"/>
      <c r="D105" s="529" t="s">
        <v>705</v>
      </c>
      <c r="E105" s="715">
        <v>2991</v>
      </c>
    </row>
    <row r="106" spans="1:11" s="187" customFormat="1" ht="15">
      <c r="A106" s="941"/>
      <c r="B106" s="930"/>
      <c r="C106" s="530"/>
      <c r="D106" s="531" t="s">
        <v>706</v>
      </c>
      <c r="E106" s="716">
        <v>889</v>
      </c>
    </row>
    <row r="107" spans="1:11" s="187" customFormat="1" ht="15">
      <c r="A107" s="941" t="s">
        <v>710</v>
      </c>
      <c r="B107" s="928" t="s">
        <v>696</v>
      </c>
      <c r="C107" s="525"/>
      <c r="D107" s="526" t="s">
        <v>697</v>
      </c>
      <c r="E107" s="713">
        <v>94778</v>
      </c>
    </row>
    <row r="108" spans="1:11" s="187" customFormat="1" ht="15">
      <c r="A108" s="941"/>
      <c r="B108" s="929"/>
      <c r="C108" s="528"/>
      <c r="D108" s="529" t="s">
        <v>699</v>
      </c>
      <c r="E108" s="714">
        <v>14236</v>
      </c>
    </row>
    <row r="109" spans="1:11" s="187" customFormat="1" ht="15">
      <c r="A109" s="941"/>
      <c r="B109" s="930"/>
      <c r="C109" s="530"/>
      <c r="D109" s="531" t="s">
        <v>701</v>
      </c>
      <c r="E109" s="717"/>
    </row>
    <row r="110" spans="1:11" s="187" customFormat="1" ht="15">
      <c r="A110" s="941"/>
      <c r="B110" s="928" t="s">
        <v>702</v>
      </c>
      <c r="C110" s="525"/>
      <c r="D110" s="526" t="s">
        <v>703</v>
      </c>
      <c r="E110" s="713"/>
    </row>
    <row r="111" spans="1:11" s="187" customFormat="1" ht="15">
      <c r="A111" s="941"/>
      <c r="B111" s="929"/>
      <c r="C111" s="528"/>
      <c r="D111" s="529" t="s">
        <v>704</v>
      </c>
      <c r="E111" s="714"/>
    </row>
    <row r="112" spans="1:11" s="187" customFormat="1" ht="15">
      <c r="A112" s="941"/>
      <c r="B112" s="929"/>
      <c r="C112" s="528"/>
      <c r="D112" s="529" t="s">
        <v>705</v>
      </c>
      <c r="E112" s="715">
        <v>303352</v>
      </c>
    </row>
    <row r="113" spans="1:5" s="187" customFormat="1" ht="15">
      <c r="A113" s="941"/>
      <c r="B113" s="930"/>
      <c r="C113" s="530"/>
      <c r="D113" s="531" t="s">
        <v>706</v>
      </c>
      <c r="E113" s="716">
        <v>3036</v>
      </c>
    </row>
    <row r="114" spans="1:5" s="187" customFormat="1" ht="15">
      <c r="A114" s="937" t="s">
        <v>711</v>
      </c>
      <c r="B114" s="928" t="s">
        <v>696</v>
      </c>
      <c r="C114" s="525"/>
      <c r="D114" s="526" t="s">
        <v>697</v>
      </c>
      <c r="E114" s="713">
        <v>61288</v>
      </c>
    </row>
    <row r="115" spans="1:5" s="187" customFormat="1" ht="15">
      <c r="A115" s="938"/>
      <c r="B115" s="929"/>
      <c r="C115" s="528"/>
      <c r="D115" s="529" t="s">
        <v>699</v>
      </c>
      <c r="E115" s="714">
        <v>20424</v>
      </c>
    </row>
    <row r="116" spans="1:5" s="187" customFormat="1" ht="15">
      <c r="A116" s="938"/>
      <c r="B116" s="930"/>
      <c r="C116" s="530"/>
      <c r="D116" s="531" t="s">
        <v>701</v>
      </c>
      <c r="E116" s="717">
        <v>16352</v>
      </c>
    </row>
    <row r="117" spans="1:5" s="187" customFormat="1" ht="15">
      <c r="A117" s="938"/>
      <c r="B117" s="928" t="s">
        <v>702</v>
      </c>
      <c r="C117" s="525"/>
      <c r="D117" s="526" t="s">
        <v>703</v>
      </c>
      <c r="E117" s="713">
        <v>11797</v>
      </c>
    </row>
    <row r="118" spans="1:5" s="187" customFormat="1" ht="15">
      <c r="A118" s="938"/>
      <c r="B118" s="929"/>
      <c r="C118" s="528"/>
      <c r="D118" s="529" t="s">
        <v>704</v>
      </c>
      <c r="E118" s="714"/>
    </row>
    <row r="119" spans="1:5" s="187" customFormat="1" ht="15">
      <c r="A119" s="938"/>
      <c r="B119" s="929"/>
      <c r="C119" s="528"/>
      <c r="D119" s="529" t="s">
        <v>705</v>
      </c>
      <c r="E119" s="715">
        <v>4867</v>
      </c>
    </row>
    <row r="120" spans="1:5" s="187" customFormat="1" ht="15">
      <c r="A120" s="939"/>
      <c r="B120" s="930"/>
      <c r="C120" s="530"/>
      <c r="D120" s="531" t="s">
        <v>706</v>
      </c>
      <c r="E120" s="716"/>
    </row>
    <row r="121" spans="1:5" s="536" customFormat="1"/>
  </sheetData>
  <mergeCells count="22">
    <mergeCell ref="B96:B99"/>
    <mergeCell ref="A114:A120"/>
    <mergeCell ref="B114:B116"/>
    <mergeCell ref="B117:B120"/>
    <mergeCell ref="A79:A85"/>
    <mergeCell ref="B79:B81"/>
    <mergeCell ref="A100:A106"/>
    <mergeCell ref="B100:B102"/>
    <mergeCell ref="B103:B106"/>
    <mergeCell ref="A107:A113"/>
    <mergeCell ref="B107:B109"/>
    <mergeCell ref="B110:B113"/>
    <mergeCell ref="A86:A92"/>
    <mergeCell ref="B86:B88"/>
    <mergeCell ref="B89:B92"/>
    <mergeCell ref="A93:A99"/>
    <mergeCell ref="B93:B95"/>
    <mergeCell ref="F80:G80"/>
    <mergeCell ref="B82:B85"/>
    <mergeCell ref="E44:F44"/>
    <mergeCell ref="E58:F58"/>
    <mergeCell ref="C72:O74"/>
  </mergeCells>
  <pageMargins left="0.7" right="0.7" top="0.75" bottom="0.75" header="0.3" footer="0.3"/>
  <pageSetup paperSize="9" orientation="portrait" verticalDpi="0" r:id="rId1"/>
  <drawing r:id="rId2"/>
  <legacyDrawing r:id="rId3"/>
</worksheet>
</file>

<file path=xl/worksheets/sheet13.xml><?xml version="1.0" encoding="utf-8"?>
<worksheet xmlns="http://schemas.openxmlformats.org/spreadsheetml/2006/main" xmlns:r="http://schemas.openxmlformats.org/officeDocument/2006/relationships">
  <dimension ref="A1:AB613"/>
  <sheetViews>
    <sheetView zoomScale="70" zoomScaleNormal="70" workbookViewId="0">
      <pane ySplit="8" topLeftCell="A9" activePane="bottomLeft" state="frozen"/>
      <selection pane="bottomLeft" activeCell="A9" sqref="A9"/>
    </sheetView>
  </sheetViews>
  <sheetFormatPr defaultColWidth="9.140625" defaultRowHeight="12.75"/>
  <cols>
    <col min="1" max="1" width="9.140625" style="36"/>
    <col min="2" max="2" width="19.28515625" style="36" customWidth="1"/>
    <col min="3" max="3" width="9.140625" style="36"/>
    <col min="4" max="4" width="91.5703125" style="36" customWidth="1"/>
    <col min="5" max="5" width="11.42578125" style="36" customWidth="1"/>
    <col min="6" max="6" width="11" style="36" customWidth="1"/>
    <col min="7" max="7" width="9" style="77" customWidth="1"/>
    <col min="8" max="8" width="9.7109375" style="36" bestFit="1" customWidth="1"/>
    <col min="9" max="9" width="69.140625" style="36" customWidth="1"/>
    <col min="10" max="11" width="13.140625" style="36" bestFit="1" customWidth="1"/>
    <col min="12" max="16384" width="9.140625" style="36"/>
  </cols>
  <sheetData>
    <row r="1" spans="1:28" s="193" customFormat="1" ht="21">
      <c r="A1" s="211" t="s">
        <v>721</v>
      </c>
      <c r="D1" s="153"/>
      <c r="E1" s="194"/>
      <c r="F1" s="194"/>
      <c r="G1" s="194"/>
      <c r="H1" s="153"/>
      <c r="I1" s="194"/>
      <c r="Q1" s="210"/>
      <c r="R1" s="210"/>
    </row>
    <row r="2" spans="1:28" s="222" customFormat="1">
      <c r="A2" s="222" t="s">
        <v>453</v>
      </c>
      <c r="C2" s="206"/>
      <c r="D2" s="207"/>
      <c r="E2" s="172" t="s">
        <v>400</v>
      </c>
      <c r="F2" s="172"/>
      <c r="H2" s="208"/>
      <c r="I2" s="206"/>
      <c r="J2" s="208"/>
      <c r="K2" s="206"/>
      <c r="M2" s="208"/>
      <c r="N2" s="206"/>
      <c r="P2" s="208"/>
      <c r="Q2" s="206"/>
      <c r="S2" s="208"/>
      <c r="T2" s="206"/>
      <c r="V2" s="208"/>
      <c r="W2" s="206"/>
      <c r="Y2" s="208"/>
      <c r="Z2" s="206"/>
      <c r="AB2" s="208"/>
    </row>
    <row r="3" spans="1:28" s="222" customFormat="1">
      <c r="C3" s="206"/>
      <c r="D3" s="207"/>
      <c r="E3" s="751"/>
      <c r="F3" s="177" t="s">
        <v>863</v>
      </c>
      <c r="H3" s="208"/>
      <c r="I3" s="206"/>
      <c r="J3" s="208"/>
      <c r="K3" s="206"/>
      <c r="M3" s="208"/>
      <c r="N3" s="206"/>
      <c r="P3" s="208"/>
      <c r="Q3" s="206"/>
      <c r="S3" s="208"/>
      <c r="T3" s="206"/>
      <c r="V3" s="208"/>
      <c r="W3" s="206"/>
      <c r="Y3" s="208"/>
      <c r="Z3" s="206"/>
      <c r="AB3" s="208"/>
    </row>
    <row r="4" spans="1:28" s="27" customFormat="1">
      <c r="C4" s="29"/>
      <c r="D4" s="30"/>
      <c r="E4" s="196"/>
      <c r="F4" s="177" t="s">
        <v>864</v>
      </c>
      <c r="G4" s="29"/>
      <c r="H4" s="30"/>
      <c r="J4" s="31"/>
      <c r="K4" s="31"/>
      <c r="L4" s="31"/>
      <c r="P4" s="29"/>
    </row>
    <row r="5" spans="1:28" s="200" customFormat="1">
      <c r="C5" s="29"/>
      <c r="D5" s="202"/>
      <c r="E5" s="217"/>
      <c r="F5" s="171" t="s">
        <v>611</v>
      </c>
      <c r="G5" s="29"/>
      <c r="H5" s="202"/>
      <c r="J5" s="32"/>
      <c r="K5" s="32"/>
      <c r="L5" s="32"/>
      <c r="P5" s="29"/>
    </row>
    <row r="6" spans="1:28" ht="18.75" customHeight="1">
      <c r="A6" s="818" t="s">
        <v>402</v>
      </c>
      <c r="B6" s="819"/>
      <c r="C6" s="819"/>
      <c r="D6" s="811"/>
      <c r="E6" s="820" t="s">
        <v>401</v>
      </c>
      <c r="F6" s="821"/>
      <c r="G6" s="35"/>
      <c r="H6" s="810" t="s">
        <v>403</v>
      </c>
      <c r="I6" s="811"/>
      <c r="J6" s="812" t="s">
        <v>401</v>
      </c>
      <c r="K6" s="813"/>
    </row>
    <row r="7" spans="1:28" ht="25.5">
      <c r="A7" s="747" t="s">
        <v>859</v>
      </c>
      <c r="B7" s="43" t="s">
        <v>409</v>
      </c>
      <c r="C7" s="747" t="s">
        <v>860</v>
      </c>
      <c r="D7" s="43" t="s">
        <v>404</v>
      </c>
      <c r="E7" s="42" t="s">
        <v>680</v>
      </c>
      <c r="F7" s="42" t="s">
        <v>681</v>
      </c>
      <c r="G7" s="41"/>
      <c r="H7" s="44" t="s">
        <v>0</v>
      </c>
      <c r="I7" s="45" t="s">
        <v>406</v>
      </c>
      <c r="J7" s="46" t="s">
        <v>680</v>
      </c>
      <c r="K7" s="46" t="s">
        <v>681</v>
      </c>
    </row>
    <row r="8" spans="1:28">
      <c r="G8" s="127"/>
    </row>
    <row r="9" spans="1:28" s="213" customFormat="1" ht="15.75">
      <c r="A9" s="213" t="s">
        <v>448</v>
      </c>
      <c r="G9" s="212"/>
      <c r="H9" s="213" t="str">
        <f>A9</f>
        <v>Adjusted ACT data</v>
      </c>
    </row>
    <row r="10" spans="1:28">
      <c r="G10" s="127"/>
    </row>
    <row r="11" spans="1:28">
      <c r="A11" s="50" t="s">
        <v>3</v>
      </c>
      <c r="B11" s="838" t="s">
        <v>137</v>
      </c>
      <c r="C11" s="49" t="s">
        <v>4</v>
      </c>
      <c r="D11" s="48" t="s">
        <v>79</v>
      </c>
      <c r="E11" s="80">
        <f>ACT!K8</f>
        <v>0</v>
      </c>
      <c r="F11" s="80">
        <f>ACT!L8</f>
        <v>0</v>
      </c>
      <c r="G11" s="150"/>
      <c r="H11" s="119" t="s">
        <v>324</v>
      </c>
      <c r="I11" s="18" t="s">
        <v>325</v>
      </c>
      <c r="J11" s="80">
        <f>E76</f>
        <v>81</v>
      </c>
      <c r="K11" s="80">
        <f>F76</f>
        <v>126.39</v>
      </c>
    </row>
    <row r="12" spans="1:28">
      <c r="A12" s="53"/>
      <c r="B12" s="839"/>
      <c r="C12" s="49" t="s">
        <v>138</v>
      </c>
      <c r="D12" s="48" t="s">
        <v>139</v>
      </c>
      <c r="E12" s="80">
        <f>ACT!K9</f>
        <v>0</v>
      </c>
      <c r="F12" s="80">
        <f>ACT!L9</f>
        <v>0</v>
      </c>
      <c r="G12" s="150"/>
      <c r="H12" s="119" t="s">
        <v>326</v>
      </c>
      <c r="I12" s="18" t="s">
        <v>327</v>
      </c>
      <c r="J12" s="80">
        <f>E78</f>
        <v>0</v>
      </c>
      <c r="K12" s="80">
        <f>F78</f>
        <v>0</v>
      </c>
    </row>
    <row r="13" spans="1:28">
      <c r="A13" s="56"/>
      <c r="B13" s="840"/>
      <c r="C13" s="49" t="s">
        <v>81</v>
      </c>
      <c r="D13" s="48" t="s">
        <v>80</v>
      </c>
      <c r="E13" s="80">
        <f>ACT!K10</f>
        <v>0</v>
      </c>
      <c r="F13" s="80">
        <f>ACT!L10</f>
        <v>0</v>
      </c>
      <c r="G13" s="150"/>
      <c r="H13" s="119" t="s">
        <v>328</v>
      </c>
      <c r="I13" s="18" t="s">
        <v>130</v>
      </c>
      <c r="J13" s="80">
        <f>E77</f>
        <v>330</v>
      </c>
      <c r="K13" s="80">
        <f>F77</f>
        <v>156.5</v>
      </c>
    </row>
    <row r="14" spans="1:28">
      <c r="A14" s="59" t="s">
        <v>5</v>
      </c>
      <c r="B14" s="129" t="s">
        <v>6</v>
      </c>
      <c r="C14" s="49" t="s">
        <v>7</v>
      </c>
      <c r="D14" s="48" t="s">
        <v>82</v>
      </c>
      <c r="E14" s="80">
        <f>ACT!K11</f>
        <v>0.11799999999999999</v>
      </c>
      <c r="F14" s="80">
        <f>ACT!L11</f>
        <v>0.249</v>
      </c>
      <c r="G14" s="150"/>
      <c r="H14" s="119" t="s">
        <v>329</v>
      </c>
      <c r="I14" s="18" t="s">
        <v>330</v>
      </c>
      <c r="J14" s="80">
        <f>E47</f>
        <v>14.23</v>
      </c>
      <c r="K14" s="80">
        <f>F47</f>
        <v>8.8800000000000008</v>
      </c>
    </row>
    <row r="15" spans="1:28">
      <c r="A15" s="59" t="s">
        <v>8</v>
      </c>
      <c r="B15" s="129" t="s">
        <v>140</v>
      </c>
      <c r="C15" s="49" t="s">
        <v>9</v>
      </c>
      <c r="D15" s="48" t="s">
        <v>83</v>
      </c>
      <c r="E15" s="80">
        <f>ACT!K12</f>
        <v>218.67</v>
      </c>
      <c r="F15" s="80">
        <f>ACT!L12</f>
        <v>230.93</v>
      </c>
      <c r="G15" s="150"/>
      <c r="H15" s="119" t="s">
        <v>331</v>
      </c>
      <c r="I15" s="18" t="s">
        <v>332</v>
      </c>
      <c r="J15" s="80">
        <f>E49</f>
        <v>0</v>
      </c>
      <c r="K15" s="80">
        <f>F49</f>
        <v>0</v>
      </c>
    </row>
    <row r="16" spans="1:28">
      <c r="A16" s="60" t="s">
        <v>10</v>
      </c>
      <c r="B16" s="838" t="s">
        <v>11</v>
      </c>
      <c r="C16" s="49" t="s">
        <v>12</v>
      </c>
      <c r="D16" s="48" t="s">
        <v>84</v>
      </c>
      <c r="E16" s="80">
        <f>ACT!K13</f>
        <v>0</v>
      </c>
      <c r="F16" s="80">
        <f>ACT!L13</f>
        <v>0</v>
      </c>
      <c r="G16" s="150"/>
      <c r="H16" s="119" t="s">
        <v>333</v>
      </c>
      <c r="I16" s="18" t="s">
        <v>334</v>
      </c>
      <c r="J16" s="80">
        <f>E46</f>
        <v>0</v>
      </c>
      <c r="K16" s="80">
        <f>F46</f>
        <v>0</v>
      </c>
    </row>
    <row r="17" spans="1:11">
      <c r="A17" s="61"/>
      <c r="B17" s="839"/>
      <c r="C17" s="49" t="s">
        <v>13</v>
      </c>
      <c r="D17" s="48" t="s">
        <v>85</v>
      </c>
      <c r="E17" s="80">
        <f>ACT!K14</f>
        <v>0</v>
      </c>
      <c r="F17" s="80">
        <f>ACT!L14</f>
        <v>0</v>
      </c>
      <c r="G17" s="150"/>
      <c r="H17" s="119" t="s">
        <v>335</v>
      </c>
      <c r="I17" s="18" t="s">
        <v>336</v>
      </c>
      <c r="J17" s="80">
        <f>E12</f>
        <v>0</v>
      </c>
      <c r="K17" s="80">
        <f>F12</f>
        <v>0</v>
      </c>
    </row>
    <row r="18" spans="1:11">
      <c r="A18" s="61"/>
      <c r="B18" s="839"/>
      <c r="C18" s="49" t="s">
        <v>14</v>
      </c>
      <c r="D18" s="48" t="s">
        <v>86</v>
      </c>
      <c r="E18" s="80">
        <f>ACT!K15</f>
        <v>6.97</v>
      </c>
      <c r="F18" s="80">
        <f>ACT!L15</f>
        <v>9.64</v>
      </c>
      <c r="G18" s="150"/>
      <c r="H18" s="119" t="s">
        <v>337</v>
      </c>
      <c r="I18" s="18" t="s">
        <v>322</v>
      </c>
      <c r="J18" s="80">
        <f t="shared" ref="J18:K19" si="0">E50</f>
        <v>724</v>
      </c>
      <c r="K18" s="80">
        <f t="shared" si="0"/>
        <v>786</v>
      </c>
    </row>
    <row r="19" spans="1:11">
      <c r="A19" s="61"/>
      <c r="B19" s="839"/>
      <c r="C19" s="49" t="s">
        <v>15</v>
      </c>
      <c r="D19" s="48" t="s">
        <v>87</v>
      </c>
      <c r="E19" s="80">
        <f>ACT!K16</f>
        <v>0</v>
      </c>
      <c r="F19" s="80">
        <f>ACT!L16</f>
        <v>0</v>
      </c>
      <c r="G19" s="150"/>
      <c r="H19" s="119" t="s">
        <v>338</v>
      </c>
      <c r="I19" s="18" t="s">
        <v>339</v>
      </c>
      <c r="J19" s="80">
        <f t="shared" si="0"/>
        <v>489.76</v>
      </c>
      <c r="K19" s="80">
        <f t="shared" si="0"/>
        <v>1064</v>
      </c>
    </row>
    <row r="20" spans="1:11">
      <c r="A20" s="61"/>
      <c r="B20" s="839"/>
      <c r="C20" s="49" t="s">
        <v>16</v>
      </c>
      <c r="D20" s="48" t="s">
        <v>88</v>
      </c>
      <c r="E20" s="80">
        <f>ACT!K17</f>
        <v>0</v>
      </c>
      <c r="F20" s="80">
        <f>ACT!L17</f>
        <v>0</v>
      </c>
      <c r="G20" s="150"/>
      <c r="H20" s="119" t="s">
        <v>340</v>
      </c>
      <c r="I20" s="18" t="s">
        <v>341</v>
      </c>
      <c r="J20" s="80">
        <f>E57</f>
        <v>6.2160000000000002</v>
      </c>
      <c r="K20" s="80">
        <f>F57</f>
        <v>19.062999999999999</v>
      </c>
    </row>
    <row r="21" spans="1:11">
      <c r="A21" s="61"/>
      <c r="B21" s="839"/>
      <c r="C21" s="49" t="s">
        <v>17</v>
      </c>
      <c r="D21" s="48" t="s">
        <v>89</v>
      </c>
      <c r="E21" s="80">
        <f>ACT!K18</f>
        <v>0</v>
      </c>
      <c r="F21" s="80">
        <f>ACT!L18</f>
        <v>0</v>
      </c>
      <c r="G21" s="150"/>
      <c r="H21" s="119" t="s">
        <v>342</v>
      </c>
      <c r="I21" s="18" t="s">
        <v>343</v>
      </c>
      <c r="J21" s="80">
        <f>E52</f>
        <v>0</v>
      </c>
      <c r="K21" s="80">
        <f>F52</f>
        <v>0</v>
      </c>
    </row>
    <row r="22" spans="1:11">
      <c r="A22" s="61"/>
      <c r="B22" s="839"/>
      <c r="C22" s="49" t="s">
        <v>18</v>
      </c>
      <c r="D22" s="48" t="s">
        <v>90</v>
      </c>
      <c r="E22" s="80">
        <f>ACT!K19</f>
        <v>0</v>
      </c>
      <c r="F22" s="80">
        <f>ACT!L19</f>
        <v>0</v>
      </c>
      <c r="G22" s="150"/>
      <c r="H22" s="119" t="s">
        <v>344</v>
      </c>
      <c r="I22" s="18" t="s">
        <v>345</v>
      </c>
      <c r="J22" s="80">
        <f t="shared" ref="J22:K23" si="1">E41</f>
        <v>74</v>
      </c>
      <c r="K22" s="80">
        <f t="shared" si="1"/>
        <v>131.91</v>
      </c>
    </row>
    <row r="23" spans="1:11">
      <c r="A23" s="61"/>
      <c r="B23" s="839"/>
      <c r="C23" s="49" t="s">
        <v>19</v>
      </c>
      <c r="D23" s="48" t="s">
        <v>141</v>
      </c>
      <c r="E23" s="80">
        <f>ACT!K20</f>
        <v>0</v>
      </c>
      <c r="F23" s="80">
        <f>ACT!L20</f>
        <v>0</v>
      </c>
      <c r="G23" s="150"/>
      <c r="H23" s="119" t="s">
        <v>346</v>
      </c>
      <c r="I23" s="18" t="s">
        <v>347</v>
      </c>
      <c r="J23" s="80">
        <f t="shared" si="1"/>
        <v>0.88</v>
      </c>
      <c r="K23" s="80">
        <f t="shared" si="1"/>
        <v>6</v>
      </c>
    </row>
    <row r="24" spans="1:11">
      <c r="A24" s="61"/>
      <c r="B24" s="839"/>
      <c r="C24" s="49" t="s">
        <v>142</v>
      </c>
      <c r="D24" s="48" t="s">
        <v>143</v>
      </c>
      <c r="E24" s="80">
        <f>ACT!K21</f>
        <v>0</v>
      </c>
      <c r="F24" s="80">
        <f>ACT!L21</f>
        <v>0</v>
      </c>
      <c r="G24" s="150"/>
      <c r="H24" s="119" t="s">
        <v>348</v>
      </c>
      <c r="I24" s="18" t="s">
        <v>349</v>
      </c>
      <c r="J24" s="80">
        <f>E79</f>
        <v>18.87</v>
      </c>
      <c r="K24" s="80">
        <f>F79</f>
        <v>30.52</v>
      </c>
    </row>
    <row r="25" spans="1:11">
      <c r="A25" s="61"/>
      <c r="B25" s="839"/>
      <c r="C25" s="49" t="s">
        <v>20</v>
      </c>
      <c r="D25" s="48" t="s">
        <v>91</v>
      </c>
      <c r="E25" s="80">
        <f>ACT!K22</f>
        <v>0</v>
      </c>
      <c r="F25" s="80">
        <f>ACT!L22</f>
        <v>0</v>
      </c>
      <c r="G25" s="150"/>
      <c r="H25" s="119" t="s">
        <v>350</v>
      </c>
      <c r="I25" s="18" t="s">
        <v>351</v>
      </c>
      <c r="J25" s="80">
        <f>E82+E37+E38+E40</f>
        <v>0.193</v>
      </c>
      <c r="K25" s="80">
        <f>F82+F37+F38+F40</f>
        <v>2.1000000000000001E-2</v>
      </c>
    </row>
    <row r="26" spans="1:11">
      <c r="A26" s="61"/>
      <c r="B26" s="839"/>
      <c r="C26" s="49" t="s">
        <v>21</v>
      </c>
      <c r="D26" s="48" t="s">
        <v>144</v>
      </c>
      <c r="E26" s="80">
        <f>ACT!K23</f>
        <v>0</v>
      </c>
      <c r="F26" s="80">
        <f>ACT!L23</f>
        <v>0</v>
      </c>
      <c r="G26" s="150"/>
      <c r="H26" s="119" t="s">
        <v>352</v>
      </c>
      <c r="I26" s="18" t="s">
        <v>353</v>
      </c>
      <c r="J26" s="80">
        <f>E80</f>
        <v>13</v>
      </c>
      <c r="K26" s="80">
        <f>F80</f>
        <v>7.44</v>
      </c>
    </row>
    <row r="27" spans="1:11">
      <c r="A27" s="61"/>
      <c r="B27" s="839"/>
      <c r="C27" s="49" t="s">
        <v>22</v>
      </c>
      <c r="D27" s="48" t="s">
        <v>92</v>
      </c>
      <c r="E27" s="80">
        <f>ACT!K24</f>
        <v>0</v>
      </c>
      <c r="F27" s="80">
        <f>ACT!L24</f>
        <v>0</v>
      </c>
      <c r="G27" s="150"/>
      <c r="H27" s="119" t="s">
        <v>354</v>
      </c>
      <c r="I27" s="18" t="s">
        <v>355</v>
      </c>
      <c r="J27" s="80">
        <f>E11</f>
        <v>0</v>
      </c>
      <c r="K27" s="80">
        <f>F11</f>
        <v>0</v>
      </c>
    </row>
    <row r="28" spans="1:11">
      <c r="A28" s="61"/>
      <c r="B28" s="839"/>
      <c r="C28" s="49" t="s">
        <v>23</v>
      </c>
      <c r="D28" s="48" t="s">
        <v>93</v>
      </c>
      <c r="E28" s="80">
        <f>ACT!K25</f>
        <v>93.96</v>
      </c>
      <c r="F28" s="80">
        <f>ACT!L25</f>
        <v>70.37</v>
      </c>
      <c r="G28" s="150"/>
      <c r="H28" s="119" t="s">
        <v>356</v>
      </c>
      <c r="I28" s="18" t="s">
        <v>357</v>
      </c>
      <c r="J28" s="80">
        <f>E73+E70+E71+E75</f>
        <v>25884.000312142551</v>
      </c>
      <c r="K28" s="80">
        <f>F73+F70+F71+F75</f>
        <v>25884.000312142551</v>
      </c>
    </row>
    <row r="29" spans="1:11">
      <c r="A29" s="61"/>
      <c r="B29" s="839"/>
      <c r="C29" s="49" t="s">
        <v>24</v>
      </c>
      <c r="D29" s="48" t="s">
        <v>94</v>
      </c>
      <c r="E29" s="80">
        <f>ACT!K26</f>
        <v>0</v>
      </c>
      <c r="F29" s="80">
        <f>ACT!L26</f>
        <v>0</v>
      </c>
      <c r="G29" s="214" t="s">
        <v>426</v>
      </c>
      <c r="H29" s="62"/>
      <c r="I29" s="63" t="s">
        <v>407</v>
      </c>
      <c r="J29" s="64"/>
      <c r="K29" s="65"/>
    </row>
    <row r="30" spans="1:11">
      <c r="A30" s="61"/>
      <c r="B30" s="839"/>
      <c r="C30" s="49" t="s">
        <v>25</v>
      </c>
      <c r="D30" s="48" t="s">
        <v>145</v>
      </c>
      <c r="E30" s="80">
        <f>ACT!K27</f>
        <v>0</v>
      </c>
      <c r="F30" s="80">
        <f>ACT!L27</f>
        <v>0</v>
      </c>
      <c r="G30" s="150"/>
      <c r="H30" s="119" t="s">
        <v>358</v>
      </c>
      <c r="I30" s="19" t="s">
        <v>84</v>
      </c>
      <c r="J30" s="80">
        <f>E16</f>
        <v>0</v>
      </c>
      <c r="K30" s="80">
        <f>F16</f>
        <v>0</v>
      </c>
    </row>
    <row r="31" spans="1:11">
      <c r="A31" s="61"/>
      <c r="B31" s="839"/>
      <c r="C31" s="49" t="s">
        <v>146</v>
      </c>
      <c r="D31" s="48" t="s">
        <v>147</v>
      </c>
      <c r="E31" s="80">
        <f>ACT!K28</f>
        <v>0</v>
      </c>
      <c r="F31" s="80">
        <f>ACT!L28</f>
        <v>0</v>
      </c>
      <c r="G31" s="150"/>
      <c r="H31" s="119" t="s">
        <v>359</v>
      </c>
      <c r="I31" s="19" t="s">
        <v>90</v>
      </c>
      <c r="J31" s="80">
        <f>E22</f>
        <v>0</v>
      </c>
      <c r="K31" s="80">
        <f>F22</f>
        <v>0</v>
      </c>
    </row>
    <row r="32" spans="1:11">
      <c r="A32" s="61"/>
      <c r="B32" s="839"/>
      <c r="C32" s="49" t="s">
        <v>148</v>
      </c>
      <c r="D32" s="48" t="s">
        <v>149</v>
      </c>
      <c r="E32" s="80">
        <f>ACT!K29</f>
        <v>0</v>
      </c>
      <c r="F32" s="80">
        <f>ACT!L29</f>
        <v>0</v>
      </c>
      <c r="G32" s="150"/>
      <c r="H32" s="119" t="s">
        <v>360</v>
      </c>
      <c r="I32" s="19" t="s">
        <v>361</v>
      </c>
      <c r="J32" s="80">
        <f>E20</f>
        <v>0</v>
      </c>
      <c r="K32" s="80">
        <f>F20</f>
        <v>0</v>
      </c>
    </row>
    <row r="33" spans="1:11">
      <c r="A33" s="61"/>
      <c r="B33" s="839"/>
      <c r="C33" s="49" t="s">
        <v>26</v>
      </c>
      <c r="D33" s="48" t="s">
        <v>150</v>
      </c>
      <c r="E33" s="80">
        <f>ACT!K30</f>
        <v>0</v>
      </c>
      <c r="F33" s="80">
        <f>ACT!L30</f>
        <v>0</v>
      </c>
      <c r="G33" s="150"/>
      <c r="H33" s="119" t="s">
        <v>362</v>
      </c>
      <c r="I33" s="19" t="s">
        <v>91</v>
      </c>
      <c r="J33" s="80">
        <f>E25</f>
        <v>0</v>
      </c>
      <c r="K33" s="80">
        <f>F25</f>
        <v>0</v>
      </c>
    </row>
    <row r="34" spans="1:11">
      <c r="A34" s="61"/>
      <c r="B34" s="839"/>
      <c r="C34" s="49" t="s">
        <v>27</v>
      </c>
      <c r="D34" s="48" t="s">
        <v>95</v>
      </c>
      <c r="E34" s="80">
        <f>ACT!K31</f>
        <v>0</v>
      </c>
      <c r="F34" s="80">
        <f>ACT!L31</f>
        <v>0.4</v>
      </c>
      <c r="G34" s="150"/>
      <c r="H34" s="119" t="s">
        <v>363</v>
      </c>
      <c r="I34" s="19" t="s">
        <v>94</v>
      </c>
      <c r="J34" s="80">
        <f>E29</f>
        <v>0</v>
      </c>
      <c r="K34" s="80">
        <f>F29</f>
        <v>0</v>
      </c>
    </row>
    <row r="35" spans="1:11">
      <c r="A35" s="61"/>
      <c r="B35" s="839"/>
      <c r="C35" s="49" t="s">
        <v>28</v>
      </c>
      <c r="D35" s="48" t="s">
        <v>96</v>
      </c>
      <c r="E35" s="80">
        <f>ACT!K32</f>
        <v>0</v>
      </c>
      <c r="F35" s="80">
        <f>ACT!L32</f>
        <v>0</v>
      </c>
      <c r="G35" s="150"/>
      <c r="H35" s="119" t="s">
        <v>364</v>
      </c>
      <c r="I35" s="19" t="s">
        <v>87</v>
      </c>
      <c r="J35" s="80">
        <f>E19</f>
        <v>0</v>
      </c>
      <c r="K35" s="80">
        <f>F19</f>
        <v>0</v>
      </c>
    </row>
    <row r="36" spans="1:11">
      <c r="A36" s="61"/>
      <c r="B36" s="839"/>
      <c r="C36" s="49" t="s">
        <v>29</v>
      </c>
      <c r="D36" s="48" t="s">
        <v>97</v>
      </c>
      <c r="E36" s="80">
        <f>ACT!K33</f>
        <v>0</v>
      </c>
      <c r="F36" s="80">
        <f>ACT!L33</f>
        <v>0</v>
      </c>
      <c r="G36" s="150"/>
      <c r="H36" s="119" t="s">
        <v>365</v>
      </c>
      <c r="I36" s="19" t="s">
        <v>145</v>
      </c>
      <c r="J36" s="80">
        <f>E30</f>
        <v>0</v>
      </c>
      <c r="K36" s="80">
        <f>F30</f>
        <v>0</v>
      </c>
    </row>
    <row r="37" spans="1:11">
      <c r="A37" s="61"/>
      <c r="B37" s="839"/>
      <c r="C37" s="49" t="s">
        <v>99</v>
      </c>
      <c r="D37" s="48" t="s">
        <v>98</v>
      </c>
      <c r="E37" s="80">
        <f>ACT!K34</f>
        <v>0</v>
      </c>
      <c r="F37" s="80">
        <f>ACT!L34</f>
        <v>0</v>
      </c>
      <c r="G37" s="150"/>
      <c r="H37" s="119" t="s">
        <v>366</v>
      </c>
      <c r="I37" s="19" t="s">
        <v>89</v>
      </c>
      <c r="J37" s="80">
        <f>E21</f>
        <v>0</v>
      </c>
      <c r="K37" s="80">
        <f>F21</f>
        <v>0</v>
      </c>
    </row>
    <row r="38" spans="1:11">
      <c r="A38" s="61"/>
      <c r="B38" s="839"/>
      <c r="C38" s="49" t="s">
        <v>101</v>
      </c>
      <c r="D38" s="48" t="s">
        <v>100</v>
      </c>
      <c r="E38" s="80">
        <f>ACT!K35</f>
        <v>0</v>
      </c>
      <c r="F38" s="80">
        <f>ACT!L35</f>
        <v>0</v>
      </c>
      <c r="G38" s="150"/>
      <c r="H38" s="119" t="s">
        <v>367</v>
      </c>
      <c r="I38" s="19" t="s">
        <v>141</v>
      </c>
      <c r="J38" s="80">
        <f>E23</f>
        <v>0</v>
      </c>
      <c r="K38" s="80">
        <f>F23</f>
        <v>0</v>
      </c>
    </row>
    <row r="39" spans="1:11">
      <c r="A39" s="66"/>
      <c r="B39" s="840"/>
      <c r="C39" s="49" t="s">
        <v>30</v>
      </c>
      <c r="D39" s="48" t="s">
        <v>151</v>
      </c>
      <c r="E39" s="80">
        <f>ACT!K36</f>
        <v>0</v>
      </c>
      <c r="F39" s="80">
        <f>ACT!L36</f>
        <v>0</v>
      </c>
      <c r="G39" s="150"/>
      <c r="H39" s="119" t="s">
        <v>368</v>
      </c>
      <c r="I39" s="19" t="s">
        <v>147</v>
      </c>
      <c r="J39" s="80">
        <f>E31</f>
        <v>0</v>
      </c>
      <c r="K39" s="80">
        <f>F31</f>
        <v>0</v>
      </c>
    </row>
    <row r="40" spans="1:11">
      <c r="A40" s="59" t="s">
        <v>31</v>
      </c>
      <c r="B40" s="205" t="s">
        <v>32</v>
      </c>
      <c r="C40" s="49" t="s">
        <v>33</v>
      </c>
      <c r="D40" s="48" t="s">
        <v>102</v>
      </c>
      <c r="E40" s="80">
        <f>ACT!K37</f>
        <v>0.193</v>
      </c>
      <c r="F40" s="80">
        <f>ACT!L37</f>
        <v>2.1000000000000001E-2</v>
      </c>
      <c r="G40" s="150"/>
      <c r="H40" s="119" t="s">
        <v>369</v>
      </c>
      <c r="I40" s="19" t="s">
        <v>86</v>
      </c>
      <c r="J40" s="80">
        <f>E18</f>
        <v>6.97</v>
      </c>
      <c r="K40" s="80">
        <f>F18</f>
        <v>9.64</v>
      </c>
    </row>
    <row r="41" spans="1:11" ht="12.75" customHeight="1">
      <c r="A41" s="60" t="s">
        <v>34</v>
      </c>
      <c r="B41" s="838" t="s">
        <v>152</v>
      </c>
      <c r="C41" s="49" t="s">
        <v>35</v>
      </c>
      <c r="D41" s="48" t="s">
        <v>103</v>
      </c>
      <c r="E41" s="80">
        <f>ACT!K38</f>
        <v>74</v>
      </c>
      <c r="F41" s="80">
        <f>ACT!L38</f>
        <v>131.91</v>
      </c>
      <c r="G41" s="150"/>
      <c r="H41" s="119" t="s">
        <v>370</v>
      </c>
      <c r="I41" s="19" t="s">
        <v>143</v>
      </c>
      <c r="J41" s="80">
        <f>E24</f>
        <v>0</v>
      </c>
      <c r="K41" s="80">
        <f>F24</f>
        <v>0</v>
      </c>
    </row>
    <row r="42" spans="1:11">
      <c r="A42" s="66"/>
      <c r="B42" s="840"/>
      <c r="C42" s="49" t="s">
        <v>105</v>
      </c>
      <c r="D42" s="48" t="s">
        <v>104</v>
      </c>
      <c r="E42" s="80">
        <f>ACT!K39</f>
        <v>0.88</v>
      </c>
      <c r="F42" s="80">
        <f>ACT!L39</f>
        <v>6</v>
      </c>
      <c r="G42" s="150"/>
      <c r="H42" s="119" t="s">
        <v>371</v>
      </c>
      <c r="I42" s="19" t="s">
        <v>93</v>
      </c>
      <c r="J42" s="80">
        <f>E28</f>
        <v>93.96</v>
      </c>
      <c r="K42" s="80">
        <f>F28</f>
        <v>70.37</v>
      </c>
    </row>
    <row r="43" spans="1:11">
      <c r="A43" s="60" t="s">
        <v>37</v>
      </c>
      <c r="B43" s="838" t="s">
        <v>153</v>
      </c>
      <c r="C43" s="49" t="s">
        <v>38</v>
      </c>
      <c r="D43" s="48" t="s">
        <v>106</v>
      </c>
      <c r="E43" s="80">
        <f>ACT!K40</f>
        <v>0</v>
      </c>
      <c r="F43" s="80">
        <f>ACT!L40</f>
        <v>0</v>
      </c>
      <c r="G43" s="150"/>
      <c r="H43" s="119" t="s">
        <v>372</v>
      </c>
      <c r="I43" s="19" t="s">
        <v>85</v>
      </c>
      <c r="J43" s="80">
        <f>E17</f>
        <v>0</v>
      </c>
      <c r="K43" s="80">
        <f>F17</f>
        <v>0</v>
      </c>
    </row>
    <row r="44" spans="1:11">
      <c r="A44" s="61"/>
      <c r="B44" s="839"/>
      <c r="C44" s="49" t="s">
        <v>39</v>
      </c>
      <c r="D44" s="48" t="s">
        <v>107</v>
      </c>
      <c r="E44" s="80">
        <f>ACT!K41</f>
        <v>40.549999999999997</v>
      </c>
      <c r="F44" s="80">
        <f>ACT!L41</f>
        <v>23.93</v>
      </c>
      <c r="G44" s="150"/>
      <c r="H44" s="119" t="s">
        <v>373</v>
      </c>
      <c r="I44" s="19" t="s">
        <v>374</v>
      </c>
      <c r="J44" s="80">
        <f t="shared" ref="J44:K46" si="2">E13</f>
        <v>0</v>
      </c>
      <c r="K44" s="80">
        <f t="shared" si="2"/>
        <v>0</v>
      </c>
    </row>
    <row r="45" spans="1:11">
      <c r="A45" s="61"/>
      <c r="B45" s="839"/>
      <c r="C45" s="49" t="s">
        <v>40</v>
      </c>
      <c r="D45" s="48" t="s">
        <v>108</v>
      </c>
      <c r="E45" s="80">
        <f>ACT!K42</f>
        <v>1.91</v>
      </c>
      <c r="F45" s="80">
        <f>ACT!L42</f>
        <v>0.65</v>
      </c>
      <c r="G45" s="150"/>
      <c r="H45" s="119" t="s">
        <v>375</v>
      </c>
      <c r="I45" s="19" t="s">
        <v>82</v>
      </c>
      <c r="J45" s="80">
        <f t="shared" si="2"/>
        <v>0.11799999999999999</v>
      </c>
      <c r="K45" s="80">
        <f t="shared" si="2"/>
        <v>0.249</v>
      </c>
    </row>
    <row r="46" spans="1:11">
      <c r="A46" s="66"/>
      <c r="B46" s="840"/>
      <c r="C46" s="49" t="s">
        <v>41</v>
      </c>
      <c r="D46" s="48" t="s">
        <v>109</v>
      </c>
      <c r="E46" s="80">
        <f>ACT!K43</f>
        <v>0</v>
      </c>
      <c r="F46" s="80">
        <f>ACT!L43</f>
        <v>0</v>
      </c>
      <c r="G46" s="150"/>
      <c r="H46" s="119" t="s">
        <v>376</v>
      </c>
      <c r="I46" s="19" t="s">
        <v>83</v>
      </c>
      <c r="J46" s="80">
        <f t="shared" si="2"/>
        <v>218.67</v>
      </c>
      <c r="K46" s="80">
        <f t="shared" si="2"/>
        <v>230.93</v>
      </c>
    </row>
    <row r="47" spans="1:11">
      <c r="A47" s="60" t="s">
        <v>42</v>
      </c>
      <c r="B47" s="838" t="s">
        <v>154</v>
      </c>
      <c r="C47" s="49" t="s">
        <v>43</v>
      </c>
      <c r="D47" s="48" t="s">
        <v>110</v>
      </c>
      <c r="E47" s="80">
        <f>ACT!K44</f>
        <v>14.23</v>
      </c>
      <c r="F47" s="80">
        <f>ACT!L44</f>
        <v>8.8800000000000008</v>
      </c>
      <c r="G47" s="150"/>
      <c r="H47" s="119" t="s">
        <v>377</v>
      </c>
      <c r="I47" s="19" t="s">
        <v>378</v>
      </c>
      <c r="J47" s="80">
        <f>E74</f>
        <v>0</v>
      </c>
      <c r="K47" s="80">
        <f>F74</f>
        <v>0</v>
      </c>
    </row>
    <row r="48" spans="1:11">
      <c r="A48" s="61"/>
      <c r="B48" s="839"/>
      <c r="C48" s="49" t="s">
        <v>44</v>
      </c>
      <c r="D48" s="48" t="s">
        <v>111</v>
      </c>
      <c r="E48" s="80">
        <f>ACT!K45</f>
        <v>0</v>
      </c>
      <c r="F48" s="80">
        <f>ACT!L45</f>
        <v>0</v>
      </c>
      <c r="G48" s="214" t="str">
        <f>G29</f>
        <v>ACT</v>
      </c>
      <c r="H48" s="119" t="s">
        <v>379</v>
      </c>
      <c r="I48" s="19" t="s">
        <v>176</v>
      </c>
      <c r="J48" s="80">
        <f>E48</f>
        <v>0</v>
      </c>
      <c r="K48" s="80">
        <f>F48</f>
        <v>0</v>
      </c>
    </row>
    <row r="49" spans="1:11">
      <c r="A49" s="66"/>
      <c r="B49" s="840"/>
      <c r="C49" s="49" t="s">
        <v>45</v>
      </c>
      <c r="D49" s="48" t="s">
        <v>155</v>
      </c>
      <c r="E49" s="80">
        <f>ACT!K46</f>
        <v>0</v>
      </c>
      <c r="F49" s="80">
        <f>ACT!L46</f>
        <v>0</v>
      </c>
      <c r="G49" s="150"/>
      <c r="H49" s="119" t="s">
        <v>380</v>
      </c>
      <c r="I49" s="19" t="s">
        <v>381</v>
      </c>
      <c r="J49" s="80">
        <f>E62</f>
        <v>0</v>
      </c>
      <c r="K49" s="80">
        <f>F62</f>
        <v>0</v>
      </c>
    </row>
    <row r="50" spans="1:11">
      <c r="A50" s="60" t="s">
        <v>46</v>
      </c>
      <c r="B50" s="838" t="s">
        <v>156</v>
      </c>
      <c r="C50" s="49" t="s">
        <v>47</v>
      </c>
      <c r="D50" s="48" t="s">
        <v>112</v>
      </c>
      <c r="E50" s="80">
        <f>ACT!K47</f>
        <v>724</v>
      </c>
      <c r="F50" s="80">
        <f>ACT!L47</f>
        <v>786</v>
      </c>
      <c r="G50" s="150"/>
      <c r="H50" s="119" t="s">
        <v>382</v>
      </c>
      <c r="I50" s="19" t="s">
        <v>383</v>
      </c>
      <c r="J50" s="80">
        <f>E58</f>
        <v>0</v>
      </c>
      <c r="K50" s="80">
        <f>F58</f>
        <v>0</v>
      </c>
    </row>
    <row r="51" spans="1:11">
      <c r="A51" s="61"/>
      <c r="B51" s="839"/>
      <c r="C51" s="49" t="s">
        <v>48</v>
      </c>
      <c r="D51" s="48" t="s">
        <v>157</v>
      </c>
      <c r="E51" s="80">
        <f>ACT!K48</f>
        <v>489.76</v>
      </c>
      <c r="F51" s="80">
        <f>ACT!L48</f>
        <v>1064</v>
      </c>
      <c r="G51" s="150"/>
      <c r="H51" s="119" t="s">
        <v>384</v>
      </c>
      <c r="I51" s="19" t="s">
        <v>106</v>
      </c>
      <c r="J51" s="80">
        <f>E43</f>
        <v>0</v>
      </c>
      <c r="K51" s="80">
        <f>F43</f>
        <v>0</v>
      </c>
    </row>
    <row r="52" spans="1:11">
      <c r="A52" s="66"/>
      <c r="B52" s="840"/>
      <c r="C52" s="49" t="s">
        <v>49</v>
      </c>
      <c r="D52" s="48" t="s">
        <v>158</v>
      </c>
      <c r="E52" s="80">
        <f>ACT!K49</f>
        <v>0</v>
      </c>
      <c r="F52" s="80">
        <f>ACT!L49</f>
        <v>0</v>
      </c>
      <c r="G52" s="150"/>
      <c r="H52" s="119" t="s">
        <v>385</v>
      </c>
      <c r="I52" s="19" t="s">
        <v>108</v>
      </c>
      <c r="J52" s="80">
        <f>E45</f>
        <v>1.91</v>
      </c>
      <c r="K52" s="80">
        <f>F45</f>
        <v>0.65</v>
      </c>
    </row>
    <row r="53" spans="1:11">
      <c r="A53" s="60" t="s">
        <v>50</v>
      </c>
      <c r="B53" s="838" t="s">
        <v>159</v>
      </c>
      <c r="C53" s="49" t="s">
        <v>51</v>
      </c>
      <c r="D53" s="48" t="s">
        <v>113</v>
      </c>
      <c r="E53" s="80">
        <f>ACT!K50</f>
        <v>0</v>
      </c>
      <c r="F53" s="80">
        <f>ACT!L50</f>
        <v>0</v>
      </c>
      <c r="G53" s="150"/>
      <c r="H53" s="119" t="s">
        <v>386</v>
      </c>
      <c r="I53" s="19" t="s">
        <v>107</v>
      </c>
      <c r="J53" s="80">
        <f>E44</f>
        <v>40.549999999999997</v>
      </c>
      <c r="K53" s="80">
        <f>F44</f>
        <v>23.93</v>
      </c>
    </row>
    <row r="54" spans="1:11">
      <c r="A54" s="61"/>
      <c r="B54" s="839"/>
      <c r="C54" s="49" t="s">
        <v>115</v>
      </c>
      <c r="D54" s="48" t="s">
        <v>114</v>
      </c>
      <c r="E54" s="80">
        <f>ACT!K51</f>
        <v>2765.23</v>
      </c>
      <c r="F54" s="80">
        <f>ACT!L51</f>
        <v>2258.65</v>
      </c>
      <c r="G54" s="150"/>
      <c r="H54" s="119" t="s">
        <v>387</v>
      </c>
      <c r="I54" s="19" t="s">
        <v>388</v>
      </c>
      <c r="J54" s="80">
        <f t="shared" ref="J54:K55" si="3">E60</f>
        <v>0</v>
      </c>
      <c r="K54" s="80">
        <f t="shared" si="3"/>
        <v>0</v>
      </c>
    </row>
    <row r="55" spans="1:11">
      <c r="A55" s="61"/>
      <c r="B55" s="839"/>
      <c r="C55" s="49" t="s">
        <v>52</v>
      </c>
      <c r="D55" s="48" t="s">
        <v>116</v>
      </c>
      <c r="E55" s="80">
        <f>ACT!K52</f>
        <v>0</v>
      </c>
      <c r="F55" s="80">
        <f>ACT!L52</f>
        <v>0</v>
      </c>
      <c r="G55" s="150"/>
      <c r="H55" s="119" t="s">
        <v>389</v>
      </c>
      <c r="I55" s="19" t="s">
        <v>390</v>
      </c>
      <c r="J55" s="80">
        <f t="shared" si="3"/>
        <v>0</v>
      </c>
      <c r="K55" s="80">
        <f t="shared" si="3"/>
        <v>0</v>
      </c>
    </row>
    <row r="56" spans="1:11">
      <c r="A56" s="66"/>
      <c r="B56" s="840"/>
      <c r="C56" s="49" t="s">
        <v>118</v>
      </c>
      <c r="D56" s="48" t="s">
        <v>117</v>
      </c>
      <c r="E56" s="80">
        <f>ACT!K53</f>
        <v>0</v>
      </c>
      <c r="F56" s="80">
        <f>ACT!L53</f>
        <v>0</v>
      </c>
      <c r="G56" s="150"/>
      <c r="H56" s="119" t="s">
        <v>391</v>
      </c>
      <c r="I56" s="19" t="s">
        <v>392</v>
      </c>
      <c r="J56" s="80">
        <f>E59</f>
        <v>0</v>
      </c>
      <c r="K56" s="80">
        <f>F59</f>
        <v>0</v>
      </c>
    </row>
    <row r="57" spans="1:11" ht="25.5">
      <c r="A57" s="60" t="s">
        <v>53</v>
      </c>
      <c r="B57" s="838" t="s">
        <v>54</v>
      </c>
      <c r="C57" s="49" t="s">
        <v>55</v>
      </c>
      <c r="D57" s="48" t="s">
        <v>160</v>
      </c>
      <c r="E57" s="80">
        <f>ACT!K54</f>
        <v>6.2160000000000002</v>
      </c>
      <c r="F57" s="80">
        <f>ACT!L54</f>
        <v>19.062999999999999</v>
      </c>
      <c r="G57" s="150"/>
      <c r="H57" s="62"/>
      <c r="I57" s="63" t="s">
        <v>405</v>
      </c>
      <c r="J57" s="64"/>
      <c r="K57" s="65"/>
    </row>
    <row r="58" spans="1:11">
      <c r="A58" s="61"/>
      <c r="B58" s="839"/>
      <c r="C58" s="49" t="s">
        <v>56</v>
      </c>
      <c r="D58" s="48" t="s">
        <v>161</v>
      </c>
      <c r="E58" s="80">
        <f>ACT!K55</f>
        <v>0</v>
      </c>
      <c r="F58" s="80">
        <f>ACT!L55</f>
        <v>0</v>
      </c>
      <c r="G58" s="150"/>
      <c r="H58" s="119" t="s">
        <v>393</v>
      </c>
      <c r="I58" s="19" t="s">
        <v>394</v>
      </c>
      <c r="J58" s="163">
        <f>'Gap data 2'!$B$17*'Gap data 2'!B6</f>
        <v>110049.36150575879</v>
      </c>
      <c r="K58" s="163">
        <f>'Gap data 2'!$B$17*'Gap data 2'!B7</f>
        <v>110891.96245755385</v>
      </c>
    </row>
    <row r="59" spans="1:11">
      <c r="A59" s="61"/>
      <c r="B59" s="839"/>
      <c r="C59" s="49" t="s">
        <v>57</v>
      </c>
      <c r="D59" s="48" t="s">
        <v>162</v>
      </c>
      <c r="E59" s="80">
        <f>ACT!K56</f>
        <v>0</v>
      </c>
      <c r="F59" s="80">
        <f>ACT!L56</f>
        <v>0</v>
      </c>
      <c r="G59" s="150"/>
      <c r="H59" s="119" t="s">
        <v>395</v>
      </c>
      <c r="I59" s="19" t="s">
        <v>396</v>
      </c>
      <c r="J59" s="221">
        <v>0</v>
      </c>
      <c r="K59" s="221">
        <v>0</v>
      </c>
    </row>
    <row r="60" spans="1:11">
      <c r="A60" s="61"/>
      <c r="B60" s="839"/>
      <c r="C60" s="49" t="s">
        <v>120</v>
      </c>
      <c r="D60" s="48" t="s">
        <v>119</v>
      </c>
      <c r="E60" s="80">
        <f>ACT!K57</f>
        <v>0</v>
      </c>
      <c r="F60" s="80">
        <f>ACT!L57</f>
        <v>0</v>
      </c>
      <c r="G60" s="150"/>
      <c r="H60" s="72"/>
      <c r="I60" s="73" t="s">
        <v>408</v>
      </c>
      <c r="J60" s="74"/>
      <c r="K60" s="75"/>
    </row>
    <row r="61" spans="1:11">
      <c r="A61" s="61"/>
      <c r="B61" s="839"/>
      <c r="C61" s="49" t="s">
        <v>122</v>
      </c>
      <c r="D61" s="48" t="s">
        <v>121</v>
      </c>
      <c r="E61" s="80">
        <f>ACT!K58</f>
        <v>0</v>
      </c>
      <c r="F61" s="80">
        <f>ACT!L58</f>
        <v>0</v>
      </c>
      <c r="G61" s="150"/>
      <c r="H61" s="58">
        <v>1</v>
      </c>
      <c r="I61" s="76" t="s">
        <v>397</v>
      </c>
      <c r="J61" s="80">
        <f>SUM(E26:E27,E32:E33)</f>
        <v>0</v>
      </c>
      <c r="K61" s="80">
        <f>SUM(F26:F27,F32:F33)</f>
        <v>0</v>
      </c>
    </row>
    <row r="62" spans="1:11">
      <c r="A62" s="61"/>
      <c r="B62" s="839"/>
      <c r="C62" s="49" t="s">
        <v>124</v>
      </c>
      <c r="D62" s="48" t="s">
        <v>123</v>
      </c>
      <c r="E62" s="80">
        <f>ACT!K59</f>
        <v>0</v>
      </c>
      <c r="F62" s="80">
        <f>ACT!L59</f>
        <v>0</v>
      </c>
      <c r="G62" s="150"/>
      <c r="H62" s="58">
        <v>2</v>
      </c>
      <c r="I62" s="76" t="s">
        <v>398</v>
      </c>
      <c r="J62" s="80">
        <f>SUM(E34:E36,E39)</f>
        <v>0</v>
      </c>
      <c r="K62" s="80">
        <f>SUM(F34:F36,F39)</f>
        <v>0.4</v>
      </c>
    </row>
    <row r="63" spans="1:11">
      <c r="A63" s="61"/>
      <c r="B63" s="839"/>
      <c r="C63" s="49" t="s">
        <v>58</v>
      </c>
      <c r="D63" s="48" t="s">
        <v>136</v>
      </c>
      <c r="E63" s="80">
        <f>ACT!K60</f>
        <v>0</v>
      </c>
      <c r="F63" s="80">
        <f>ACT!L60</f>
        <v>0</v>
      </c>
      <c r="G63" s="150"/>
      <c r="H63" s="58">
        <v>3</v>
      </c>
      <c r="I63" s="76" t="s">
        <v>323</v>
      </c>
      <c r="J63" s="80">
        <f>SUM(E63:E66)</f>
        <v>0</v>
      </c>
      <c r="K63" s="80">
        <f>SUM(F63:F66)</f>
        <v>0</v>
      </c>
    </row>
    <row r="64" spans="1:11">
      <c r="A64" s="61"/>
      <c r="B64" s="839"/>
      <c r="C64" s="49" t="s">
        <v>59</v>
      </c>
      <c r="D64" s="48" t="s">
        <v>125</v>
      </c>
      <c r="E64" s="80">
        <f>ACT!K61</f>
        <v>0</v>
      </c>
      <c r="F64" s="80">
        <f>ACT!L61</f>
        <v>0</v>
      </c>
      <c r="G64" s="150"/>
      <c r="H64" s="58">
        <v>4</v>
      </c>
      <c r="I64" s="76" t="s">
        <v>159</v>
      </c>
      <c r="J64" s="80">
        <f t="shared" ref="J64" si="4">SUM(E53:E56)</f>
        <v>2765.23</v>
      </c>
      <c r="K64" s="80">
        <f t="shared" ref="K64" si="5">SUM(F53:F56)</f>
        <v>2258.65</v>
      </c>
    </row>
    <row r="65" spans="1:11" ht="25.5">
      <c r="A65" s="61"/>
      <c r="B65" s="839"/>
      <c r="C65" s="49" t="s">
        <v>60</v>
      </c>
      <c r="D65" s="48" t="s">
        <v>163</v>
      </c>
      <c r="E65" s="80">
        <f>ACT!K62</f>
        <v>0</v>
      </c>
      <c r="F65" s="80">
        <f>ACT!L62</f>
        <v>0</v>
      </c>
      <c r="G65" s="150"/>
      <c r="H65" s="58">
        <v>5</v>
      </c>
      <c r="I65" s="48" t="s">
        <v>399</v>
      </c>
      <c r="J65" s="80">
        <f>E67</f>
        <v>1.5</v>
      </c>
      <c r="K65" s="80">
        <f>F67</f>
        <v>1.7</v>
      </c>
    </row>
    <row r="66" spans="1:11">
      <c r="A66" s="66"/>
      <c r="B66" s="840"/>
      <c r="C66" s="49" t="s">
        <v>61</v>
      </c>
      <c r="D66" s="48" t="s">
        <v>126</v>
      </c>
      <c r="E66" s="80">
        <f>ACT!K63</f>
        <v>0</v>
      </c>
      <c r="F66" s="80">
        <f>ACT!L63</f>
        <v>0</v>
      </c>
      <c r="G66" s="150"/>
      <c r="H66" s="58">
        <v>6</v>
      </c>
      <c r="I66" s="248" t="s">
        <v>468</v>
      </c>
      <c r="J66" s="425">
        <f t="shared" ref="J66" si="6">E68</f>
        <v>1947</v>
      </c>
      <c r="K66" s="425">
        <f t="shared" ref="K66" si="7">F68</f>
        <v>439.63</v>
      </c>
    </row>
    <row r="67" spans="1:11">
      <c r="A67" s="60" t="s">
        <v>62</v>
      </c>
      <c r="B67" s="838" t="s">
        <v>164</v>
      </c>
      <c r="C67" s="49" t="s">
        <v>63</v>
      </c>
      <c r="D67" s="48" t="s">
        <v>165</v>
      </c>
      <c r="E67" s="80">
        <f>ACT!K64</f>
        <v>1.5</v>
      </c>
      <c r="F67" s="80">
        <f>ACT!L64</f>
        <v>1.7</v>
      </c>
      <c r="H67" s="58">
        <v>7</v>
      </c>
      <c r="I67" s="248" t="s">
        <v>469</v>
      </c>
      <c r="J67" s="425">
        <f>SUM(E69,E72)</f>
        <v>0</v>
      </c>
      <c r="K67" s="425">
        <f>SUM(F69,F72)</f>
        <v>0</v>
      </c>
    </row>
    <row r="68" spans="1:11">
      <c r="A68" s="61"/>
      <c r="B68" s="839"/>
      <c r="C68" s="49" t="s">
        <v>64</v>
      </c>
      <c r="D68" s="48" t="s">
        <v>127</v>
      </c>
      <c r="E68" s="80">
        <f>ACT!K65</f>
        <v>1947</v>
      </c>
      <c r="F68" s="80">
        <f>ACT!L65</f>
        <v>439.63</v>
      </c>
      <c r="G68" s="214" t="str">
        <f>G48</f>
        <v>ACT</v>
      </c>
      <c r="H68" s="58">
        <v>8</v>
      </c>
      <c r="I68" s="76" t="s">
        <v>133</v>
      </c>
      <c r="J68" s="80">
        <f>E81</f>
        <v>1685.7689162603165</v>
      </c>
      <c r="K68" s="80">
        <f>F81</f>
        <v>1685.7689162603165</v>
      </c>
    </row>
    <row r="69" spans="1:11">
      <c r="A69" s="61"/>
      <c r="B69" s="839"/>
      <c r="C69" s="49" t="s">
        <v>65</v>
      </c>
      <c r="D69" s="48" t="s">
        <v>166</v>
      </c>
      <c r="E69" s="80">
        <f>ACT!K66</f>
        <v>0</v>
      </c>
      <c r="F69" s="80">
        <f>ACT!L66</f>
        <v>0</v>
      </c>
      <c r="G69" s="151"/>
      <c r="H69" s="77"/>
    </row>
    <row r="70" spans="1:11">
      <c r="A70" s="61"/>
      <c r="B70" s="839"/>
      <c r="C70" s="49" t="s">
        <v>66</v>
      </c>
      <c r="D70" s="48" t="s">
        <v>173</v>
      </c>
      <c r="E70" s="80">
        <f>ACT!K67</f>
        <v>0</v>
      </c>
      <c r="F70" s="80">
        <f>ACT!L67</f>
        <v>0</v>
      </c>
      <c r="G70" s="151"/>
      <c r="H70" s="77"/>
    </row>
    <row r="71" spans="1:11">
      <c r="A71" s="61"/>
      <c r="B71" s="839"/>
      <c r="C71" s="49" t="s">
        <v>67</v>
      </c>
      <c r="D71" s="48" t="s">
        <v>174</v>
      </c>
      <c r="E71" s="80">
        <f>ACT!K68</f>
        <v>0</v>
      </c>
      <c r="F71" s="80">
        <f>ACT!L68</f>
        <v>0</v>
      </c>
      <c r="G71" s="151"/>
      <c r="H71" s="77"/>
    </row>
    <row r="72" spans="1:11">
      <c r="A72" s="61"/>
      <c r="B72" s="839"/>
      <c r="C72" s="49" t="s">
        <v>68</v>
      </c>
      <c r="D72" s="48" t="s">
        <v>175</v>
      </c>
      <c r="E72" s="80">
        <f>ACT!K69</f>
        <v>0</v>
      </c>
      <c r="F72" s="80">
        <f>ACT!L69</f>
        <v>0</v>
      </c>
      <c r="G72" s="151"/>
      <c r="H72" s="77"/>
    </row>
    <row r="73" spans="1:11">
      <c r="A73" s="61"/>
      <c r="B73" s="839"/>
      <c r="C73" s="49" t="s">
        <v>128</v>
      </c>
      <c r="D73" s="48" t="s">
        <v>167</v>
      </c>
      <c r="E73" s="114">
        <f>ACT!K70+'Gap data 2'!$B$32</f>
        <v>25884.000312142551</v>
      </c>
      <c r="F73" s="114">
        <f>ACT!L70+'Gap data 2'!$B$32</f>
        <v>25884.000312142551</v>
      </c>
      <c r="G73" s="151"/>
      <c r="H73" s="77"/>
    </row>
    <row r="74" spans="1:11">
      <c r="A74" s="61"/>
      <c r="B74" s="839"/>
      <c r="C74" s="49" t="s">
        <v>69</v>
      </c>
      <c r="D74" s="48" t="s">
        <v>129</v>
      </c>
      <c r="E74" s="80">
        <f>ACT!K71</f>
        <v>0</v>
      </c>
      <c r="F74" s="80">
        <f>ACT!L71</f>
        <v>0</v>
      </c>
      <c r="G74" s="151"/>
      <c r="H74" s="77"/>
    </row>
    <row r="75" spans="1:11">
      <c r="A75" s="66"/>
      <c r="B75" s="840"/>
      <c r="C75" s="49" t="s">
        <v>70</v>
      </c>
      <c r="D75" s="48" t="s">
        <v>168</v>
      </c>
      <c r="E75" s="80">
        <f>ACT!K72</f>
        <v>0</v>
      </c>
      <c r="F75" s="80">
        <f>ACT!L72</f>
        <v>0</v>
      </c>
      <c r="G75" s="151"/>
      <c r="H75" s="77"/>
    </row>
    <row r="76" spans="1:11">
      <c r="A76" s="60" t="s">
        <v>71</v>
      </c>
      <c r="B76" s="838" t="s">
        <v>169</v>
      </c>
      <c r="C76" s="49" t="s">
        <v>72</v>
      </c>
      <c r="D76" s="48" t="s">
        <v>170</v>
      </c>
      <c r="E76" s="80">
        <f>ACT!K73</f>
        <v>81</v>
      </c>
      <c r="F76" s="80">
        <f>ACT!L73</f>
        <v>126.39</v>
      </c>
      <c r="G76" s="151"/>
      <c r="H76" s="77"/>
    </row>
    <row r="77" spans="1:11">
      <c r="A77" s="61"/>
      <c r="B77" s="839"/>
      <c r="C77" s="49" t="s">
        <v>73</v>
      </c>
      <c r="D77" s="48" t="s">
        <v>130</v>
      </c>
      <c r="E77" s="80">
        <f>ACT!K74</f>
        <v>330</v>
      </c>
      <c r="F77" s="80">
        <f>ACT!L74</f>
        <v>156.5</v>
      </c>
      <c r="G77" s="151"/>
      <c r="H77" s="77"/>
    </row>
    <row r="78" spans="1:11">
      <c r="A78" s="66"/>
      <c r="B78" s="840"/>
      <c r="C78" s="49" t="s">
        <v>74</v>
      </c>
      <c r="D78" s="48" t="s">
        <v>131</v>
      </c>
      <c r="E78" s="80">
        <f>ACT!K75</f>
        <v>0</v>
      </c>
      <c r="F78" s="80">
        <f>ACT!L75</f>
        <v>0</v>
      </c>
      <c r="G78" s="151"/>
      <c r="H78" s="77"/>
    </row>
    <row r="79" spans="1:11" ht="38.25">
      <c r="A79" s="60" t="s">
        <v>75</v>
      </c>
      <c r="B79" s="838" t="s">
        <v>76</v>
      </c>
      <c r="C79" s="49" t="s">
        <v>77</v>
      </c>
      <c r="D79" s="48" t="s">
        <v>171</v>
      </c>
      <c r="E79" s="80">
        <f>ACT!K76</f>
        <v>18.87</v>
      </c>
      <c r="F79" s="80">
        <f>ACT!L76</f>
        <v>30.52</v>
      </c>
      <c r="G79" s="151"/>
      <c r="H79" s="77"/>
    </row>
    <row r="80" spans="1:11">
      <c r="A80" s="61"/>
      <c r="B80" s="839"/>
      <c r="C80" s="49" t="s">
        <v>78</v>
      </c>
      <c r="D80" s="48" t="s">
        <v>132</v>
      </c>
      <c r="E80" s="80">
        <f>ACT!K77</f>
        <v>13</v>
      </c>
      <c r="F80" s="80">
        <f>ACT!L77</f>
        <v>7.44</v>
      </c>
      <c r="G80" s="151"/>
      <c r="H80" s="77"/>
    </row>
    <row r="81" spans="1:11">
      <c r="A81" s="61"/>
      <c r="B81" s="839"/>
      <c r="C81" s="49" t="s">
        <v>134</v>
      </c>
      <c r="D81" s="48" t="s">
        <v>133</v>
      </c>
      <c r="E81" s="163">
        <f>'Gap data 2'!$B$29</f>
        <v>1685.7689162603165</v>
      </c>
      <c r="F81" s="163">
        <f>'Gap data 2'!$B$29</f>
        <v>1685.7689162603165</v>
      </c>
      <c r="G81" s="151"/>
      <c r="H81" s="77"/>
    </row>
    <row r="82" spans="1:11">
      <c r="A82" s="66"/>
      <c r="B82" s="840"/>
      <c r="C82" s="49" t="s">
        <v>172</v>
      </c>
      <c r="D82" s="48" t="s">
        <v>135</v>
      </c>
      <c r="E82" s="80">
        <f>ACT!K79</f>
        <v>0</v>
      </c>
      <c r="F82" s="80">
        <f>ACT!L79</f>
        <v>0</v>
      </c>
      <c r="G82" s="151"/>
      <c r="H82" s="77"/>
    </row>
    <row r="83" spans="1:11">
      <c r="G83" s="127"/>
      <c r="H83" s="77"/>
    </row>
    <row r="84" spans="1:11" s="213" customFormat="1" ht="15.75">
      <c r="A84" s="213" t="s">
        <v>675</v>
      </c>
      <c r="G84" s="212"/>
      <c r="H84" s="213" t="str">
        <f>A84</f>
        <v>Adjusted NSW data</v>
      </c>
    </row>
    <row r="85" spans="1:11">
      <c r="G85" s="127"/>
    </row>
    <row r="86" spans="1:11">
      <c r="A86" s="50" t="s">
        <v>3</v>
      </c>
      <c r="B86" s="838" t="s">
        <v>137</v>
      </c>
      <c r="C86" s="49" t="s">
        <v>4</v>
      </c>
      <c r="D86" s="48" t="s">
        <v>79</v>
      </c>
      <c r="E86" s="80">
        <f>NSW!K8</f>
        <v>107.29600000000002</v>
      </c>
      <c r="F86" s="80">
        <f>NSW!L8</f>
        <v>3.16</v>
      </c>
      <c r="G86" s="150"/>
      <c r="H86" s="119" t="s">
        <v>324</v>
      </c>
      <c r="I86" s="18" t="s">
        <v>325</v>
      </c>
      <c r="J86" s="80">
        <f>E151</f>
        <v>13596.829714759106</v>
      </c>
      <c r="K86" s="80">
        <f>F151</f>
        <v>13699.099998526484</v>
      </c>
    </row>
    <row r="87" spans="1:11">
      <c r="A87" s="53"/>
      <c r="B87" s="839"/>
      <c r="C87" s="49" t="s">
        <v>138</v>
      </c>
      <c r="D87" s="48" t="s">
        <v>139</v>
      </c>
      <c r="E87" s="80">
        <f>NSW!K9</f>
        <v>0</v>
      </c>
      <c r="F87" s="80">
        <f>NSW!L9</f>
        <v>0</v>
      </c>
      <c r="G87" s="150"/>
      <c r="H87" s="119" t="s">
        <v>326</v>
      </c>
      <c r="I87" s="18" t="s">
        <v>327</v>
      </c>
      <c r="J87" s="80">
        <f>E153</f>
        <v>182.66380000000004</v>
      </c>
      <c r="K87" s="80">
        <f>F153</f>
        <v>188.49996000000004</v>
      </c>
    </row>
    <row r="88" spans="1:11">
      <c r="A88" s="56"/>
      <c r="B88" s="840"/>
      <c r="C88" s="49" t="s">
        <v>81</v>
      </c>
      <c r="D88" s="48" t="s">
        <v>80</v>
      </c>
      <c r="E88" s="80">
        <f>NSW!K10</f>
        <v>0.90449999999999997</v>
      </c>
      <c r="F88" s="80">
        <f>NSW!L10</f>
        <v>0.11499999999999999</v>
      </c>
      <c r="G88" s="150"/>
      <c r="H88" s="119" t="s">
        <v>328</v>
      </c>
      <c r="I88" s="18" t="s">
        <v>130</v>
      </c>
      <c r="J88" s="80">
        <f>E152</f>
        <v>1021.6934020488757</v>
      </c>
      <c r="K88" s="80">
        <f>F152</f>
        <v>1029.3781988980543</v>
      </c>
    </row>
    <row r="89" spans="1:11">
      <c r="A89" s="59" t="s">
        <v>5</v>
      </c>
      <c r="B89" s="129" t="s">
        <v>6</v>
      </c>
      <c r="C89" s="49" t="s">
        <v>7</v>
      </c>
      <c r="D89" s="48" t="s">
        <v>82</v>
      </c>
      <c r="E89" s="80">
        <f>NSW!K11</f>
        <v>5978.9361260000087</v>
      </c>
      <c r="F89" s="80">
        <f>NSW!L11</f>
        <v>8543.0020150000018</v>
      </c>
      <c r="G89" s="150"/>
      <c r="H89" s="119" t="s">
        <v>329</v>
      </c>
      <c r="I89" s="18" t="s">
        <v>330</v>
      </c>
      <c r="J89" s="80">
        <f>E122</f>
        <v>110.86030000000002</v>
      </c>
      <c r="K89" s="80">
        <f>F122</f>
        <v>347.69738599999999</v>
      </c>
    </row>
    <row r="90" spans="1:11">
      <c r="A90" s="59" t="s">
        <v>8</v>
      </c>
      <c r="B90" s="129" t="s">
        <v>140</v>
      </c>
      <c r="C90" s="49" t="s">
        <v>9</v>
      </c>
      <c r="D90" s="48" t="s">
        <v>83</v>
      </c>
      <c r="E90" s="80">
        <f>NSW!K12</f>
        <v>1506.2928000000006</v>
      </c>
      <c r="F90" s="80">
        <f>NSW!L12</f>
        <v>2658.3323200000009</v>
      </c>
      <c r="G90" s="150"/>
      <c r="H90" s="119" t="s">
        <v>331</v>
      </c>
      <c r="I90" s="18" t="s">
        <v>332</v>
      </c>
      <c r="J90" s="80">
        <f>E124</f>
        <v>6.28</v>
      </c>
      <c r="K90" s="80">
        <f>F124</f>
        <v>2.52</v>
      </c>
    </row>
    <row r="91" spans="1:11">
      <c r="A91" s="60" t="s">
        <v>10</v>
      </c>
      <c r="B91" s="838" t="s">
        <v>11</v>
      </c>
      <c r="C91" s="49" t="s">
        <v>12</v>
      </c>
      <c r="D91" s="48" t="s">
        <v>84</v>
      </c>
      <c r="E91" s="80">
        <f>NSW!K13</f>
        <v>0</v>
      </c>
      <c r="F91" s="80">
        <f>NSW!L13</f>
        <v>0</v>
      </c>
      <c r="G91" s="150"/>
      <c r="H91" s="119" t="s">
        <v>333</v>
      </c>
      <c r="I91" s="18" t="s">
        <v>334</v>
      </c>
      <c r="J91" s="80">
        <f>E121</f>
        <v>381.70900000000017</v>
      </c>
      <c r="K91" s="80">
        <f>F121</f>
        <v>379.0234999999999</v>
      </c>
    </row>
    <row r="92" spans="1:11">
      <c r="A92" s="61"/>
      <c r="B92" s="839"/>
      <c r="C92" s="49" t="s">
        <v>13</v>
      </c>
      <c r="D92" s="48" t="s">
        <v>85</v>
      </c>
      <c r="E92" s="80">
        <f>NSW!K14</f>
        <v>1286.4969499999997</v>
      </c>
      <c r="F92" s="80">
        <f>NSW!L14</f>
        <v>4887.6534999999967</v>
      </c>
      <c r="G92" s="150"/>
      <c r="H92" s="119" t="s">
        <v>335</v>
      </c>
      <c r="I92" s="18" t="s">
        <v>336</v>
      </c>
      <c r="J92" s="80">
        <f>E87</f>
        <v>0</v>
      </c>
      <c r="K92" s="80">
        <f>F87</f>
        <v>0</v>
      </c>
    </row>
    <row r="93" spans="1:11">
      <c r="A93" s="61"/>
      <c r="B93" s="839"/>
      <c r="C93" s="49" t="s">
        <v>14</v>
      </c>
      <c r="D93" s="48" t="s">
        <v>86</v>
      </c>
      <c r="E93" s="80">
        <f>NSW!K15</f>
        <v>90.266303999999963</v>
      </c>
      <c r="F93" s="80">
        <f>NSW!L15</f>
        <v>1593.5884999999978</v>
      </c>
      <c r="G93" s="150"/>
      <c r="H93" s="119" t="s">
        <v>337</v>
      </c>
      <c r="I93" s="18" t="s">
        <v>322</v>
      </c>
      <c r="J93" s="80">
        <f t="shared" ref="J93:J94" si="8">E125</f>
        <v>15183.534470000024</v>
      </c>
      <c r="K93" s="80">
        <f t="shared" ref="K93:K94" si="9">F125</f>
        <v>14265.096328000029</v>
      </c>
    </row>
    <row r="94" spans="1:11">
      <c r="A94" s="61"/>
      <c r="B94" s="839"/>
      <c r="C94" s="49" t="s">
        <v>15</v>
      </c>
      <c r="D94" s="48" t="s">
        <v>87</v>
      </c>
      <c r="E94" s="80">
        <f>NSW!K16</f>
        <v>0</v>
      </c>
      <c r="F94" s="80">
        <f>NSW!L16</f>
        <v>5.0000000000000001E-3</v>
      </c>
      <c r="G94" s="150"/>
      <c r="H94" s="119" t="s">
        <v>338</v>
      </c>
      <c r="I94" s="18" t="s">
        <v>339</v>
      </c>
      <c r="J94" s="80">
        <f t="shared" si="8"/>
        <v>48258.045390000181</v>
      </c>
      <c r="K94" s="80">
        <f t="shared" si="9"/>
        <v>49222.57785800015</v>
      </c>
    </row>
    <row r="95" spans="1:11">
      <c r="A95" s="61"/>
      <c r="B95" s="839"/>
      <c r="C95" s="49" t="s">
        <v>16</v>
      </c>
      <c r="D95" s="48" t="s">
        <v>88</v>
      </c>
      <c r="E95" s="80">
        <f>NSW!K17</f>
        <v>273.74770000000007</v>
      </c>
      <c r="F95" s="80">
        <f>NSW!L17</f>
        <v>337.88460000000003</v>
      </c>
      <c r="G95" s="150"/>
      <c r="H95" s="119" t="s">
        <v>340</v>
      </c>
      <c r="I95" s="18" t="s">
        <v>341</v>
      </c>
      <c r="J95" s="80">
        <f>E132</f>
        <v>1036.9860000000003</v>
      </c>
      <c r="K95" s="80">
        <f>F132</f>
        <v>991.26150000000007</v>
      </c>
    </row>
    <row r="96" spans="1:11">
      <c r="A96" s="61"/>
      <c r="B96" s="839"/>
      <c r="C96" s="49" t="s">
        <v>17</v>
      </c>
      <c r="D96" s="48" t="s">
        <v>89</v>
      </c>
      <c r="E96" s="80">
        <f>NSW!K18</f>
        <v>1.9994999999999998</v>
      </c>
      <c r="F96" s="80">
        <f>NSW!L18</f>
        <v>6.2839999999999989</v>
      </c>
      <c r="G96" s="150"/>
      <c r="H96" s="119" t="s">
        <v>342</v>
      </c>
      <c r="I96" s="18" t="s">
        <v>343</v>
      </c>
      <c r="J96" s="80">
        <f>E127</f>
        <v>638.46699999999998</v>
      </c>
      <c r="K96" s="80">
        <f>F127</f>
        <v>7973.1199999999981</v>
      </c>
    </row>
    <row r="97" spans="1:11">
      <c r="A97" s="61"/>
      <c r="B97" s="839"/>
      <c r="C97" s="49" t="s">
        <v>18</v>
      </c>
      <c r="D97" s="48" t="s">
        <v>90</v>
      </c>
      <c r="E97" s="80">
        <f>NSW!K19</f>
        <v>0</v>
      </c>
      <c r="F97" s="80">
        <f>NSW!L19</f>
        <v>0</v>
      </c>
      <c r="G97" s="150"/>
      <c r="H97" s="119" t="s">
        <v>344</v>
      </c>
      <c r="I97" s="18" t="s">
        <v>345</v>
      </c>
      <c r="J97" s="80">
        <f t="shared" ref="J97:J98" si="10">E116</f>
        <v>5714.8418099999999</v>
      </c>
      <c r="K97" s="80">
        <f t="shared" ref="K97:K98" si="11">F116</f>
        <v>6709.4102699999876</v>
      </c>
    </row>
    <row r="98" spans="1:11">
      <c r="A98" s="61"/>
      <c r="B98" s="839"/>
      <c r="C98" s="49" t="s">
        <v>19</v>
      </c>
      <c r="D98" s="48" t="s">
        <v>141</v>
      </c>
      <c r="E98" s="80">
        <f>NSW!K20</f>
        <v>0</v>
      </c>
      <c r="F98" s="80">
        <f>NSW!L20</f>
        <v>0</v>
      </c>
      <c r="G98" s="150"/>
      <c r="H98" s="119" t="s">
        <v>346</v>
      </c>
      <c r="I98" s="18" t="s">
        <v>347</v>
      </c>
      <c r="J98" s="80">
        <f t="shared" si="10"/>
        <v>1067.3615999999997</v>
      </c>
      <c r="K98" s="80">
        <f t="shared" si="11"/>
        <v>1102.4033369999997</v>
      </c>
    </row>
    <row r="99" spans="1:11">
      <c r="A99" s="61"/>
      <c r="B99" s="839"/>
      <c r="C99" s="49" t="s">
        <v>142</v>
      </c>
      <c r="D99" s="48" t="s">
        <v>143</v>
      </c>
      <c r="E99" s="80">
        <f>NSW!K21</f>
        <v>0</v>
      </c>
      <c r="F99" s="80">
        <f>NSW!L21</f>
        <v>0</v>
      </c>
      <c r="G99" s="150"/>
      <c r="H99" s="119" t="s">
        <v>348</v>
      </c>
      <c r="I99" s="18" t="s">
        <v>349</v>
      </c>
      <c r="J99" s="80">
        <f>E154</f>
        <v>1133.1767380000008</v>
      </c>
      <c r="K99" s="80">
        <f>F154</f>
        <v>1215.225015</v>
      </c>
    </row>
    <row r="100" spans="1:11">
      <c r="A100" s="61"/>
      <c r="B100" s="839"/>
      <c r="C100" s="49" t="s">
        <v>20</v>
      </c>
      <c r="D100" s="48" t="s">
        <v>91</v>
      </c>
      <c r="E100" s="80">
        <f>NSW!K22</f>
        <v>7.1749999999999998</v>
      </c>
      <c r="F100" s="80">
        <f>NSW!L22</f>
        <v>1.52</v>
      </c>
      <c r="G100" s="150"/>
      <c r="H100" s="119" t="s">
        <v>350</v>
      </c>
      <c r="I100" s="18" t="s">
        <v>351</v>
      </c>
      <c r="J100" s="80">
        <f>E157+E112+E113+E115</f>
        <v>7.0575000000000001</v>
      </c>
      <c r="K100" s="80">
        <f>F157+F112+F113+F115</f>
        <v>3.2834999999999996</v>
      </c>
    </row>
    <row r="101" spans="1:11">
      <c r="A101" s="61"/>
      <c r="B101" s="839"/>
      <c r="C101" s="49" t="s">
        <v>21</v>
      </c>
      <c r="D101" s="48" t="s">
        <v>144</v>
      </c>
      <c r="E101" s="80">
        <f>NSW!K23</f>
        <v>0</v>
      </c>
      <c r="F101" s="80">
        <f>NSW!L23</f>
        <v>0</v>
      </c>
      <c r="G101" s="150"/>
      <c r="H101" s="119" t="s">
        <v>352</v>
      </c>
      <c r="I101" s="18" t="s">
        <v>353</v>
      </c>
      <c r="J101" s="80">
        <f>E155</f>
        <v>84.731099999999984</v>
      </c>
      <c r="K101" s="80">
        <f>F155</f>
        <v>59.213500000000025</v>
      </c>
    </row>
    <row r="102" spans="1:11">
      <c r="A102" s="61"/>
      <c r="B102" s="839"/>
      <c r="C102" s="49" t="s">
        <v>22</v>
      </c>
      <c r="D102" s="48" t="s">
        <v>92</v>
      </c>
      <c r="E102" s="80">
        <f>NSW!K24</f>
        <v>1.4750000000000001</v>
      </c>
      <c r="F102" s="80">
        <f>NSW!L24</f>
        <v>0.02</v>
      </c>
      <c r="G102" s="150"/>
      <c r="H102" s="119" t="s">
        <v>354</v>
      </c>
      <c r="I102" s="18" t="s">
        <v>355</v>
      </c>
      <c r="J102" s="80">
        <f>E86</f>
        <v>107.29600000000002</v>
      </c>
      <c r="K102" s="80">
        <f>F86</f>
        <v>3.16</v>
      </c>
    </row>
    <row r="103" spans="1:11">
      <c r="A103" s="61"/>
      <c r="B103" s="839"/>
      <c r="C103" s="49" t="s">
        <v>23</v>
      </c>
      <c r="D103" s="48" t="s">
        <v>93</v>
      </c>
      <c r="E103" s="80">
        <f>NSW!K25</f>
        <v>17850.620400000007</v>
      </c>
      <c r="F103" s="80">
        <f>NSW!L25</f>
        <v>21991.827899999989</v>
      </c>
      <c r="G103" s="150"/>
      <c r="H103" s="119" t="s">
        <v>356</v>
      </c>
      <c r="I103" s="18" t="s">
        <v>357</v>
      </c>
      <c r="J103" s="80">
        <f>E148+E145+E146+E150</f>
        <v>215952.88490711385</v>
      </c>
      <c r="K103" s="80">
        <f>F148+F145+F146+F150</f>
        <v>213949.05390711385</v>
      </c>
    </row>
    <row r="104" spans="1:11">
      <c r="A104" s="61"/>
      <c r="B104" s="839"/>
      <c r="C104" s="49" t="s">
        <v>24</v>
      </c>
      <c r="D104" s="48" t="s">
        <v>94</v>
      </c>
      <c r="E104" s="80">
        <f>NSW!K26</f>
        <v>168.43200000000004</v>
      </c>
      <c r="F104" s="80">
        <f>NSW!L26</f>
        <v>195.15300000000002</v>
      </c>
      <c r="G104" s="214" t="s">
        <v>425</v>
      </c>
      <c r="H104" s="62"/>
      <c r="I104" s="63" t="s">
        <v>407</v>
      </c>
      <c r="J104" s="64"/>
      <c r="K104" s="65"/>
    </row>
    <row r="105" spans="1:11">
      <c r="A105" s="61"/>
      <c r="B105" s="839"/>
      <c r="C105" s="49" t="s">
        <v>25</v>
      </c>
      <c r="D105" s="48" t="s">
        <v>145</v>
      </c>
      <c r="E105" s="80">
        <f>NSW!K27</f>
        <v>0</v>
      </c>
      <c r="F105" s="80">
        <f>NSW!L27</f>
        <v>32.42</v>
      </c>
      <c r="G105" s="150"/>
      <c r="H105" s="119" t="s">
        <v>358</v>
      </c>
      <c r="I105" s="19" t="s">
        <v>84</v>
      </c>
      <c r="J105" s="80">
        <f>E91</f>
        <v>0</v>
      </c>
      <c r="K105" s="80">
        <f>F91</f>
        <v>0</v>
      </c>
    </row>
    <row r="106" spans="1:11">
      <c r="A106" s="61"/>
      <c r="B106" s="839"/>
      <c r="C106" s="49" t="s">
        <v>146</v>
      </c>
      <c r="D106" s="48" t="s">
        <v>147</v>
      </c>
      <c r="E106" s="80">
        <f>NSW!K28</f>
        <v>0</v>
      </c>
      <c r="F106" s="80">
        <f>NSW!L28</f>
        <v>0</v>
      </c>
      <c r="G106" s="150"/>
      <c r="H106" s="119" t="s">
        <v>359</v>
      </c>
      <c r="I106" s="19" t="s">
        <v>90</v>
      </c>
      <c r="J106" s="80">
        <f>E97</f>
        <v>0</v>
      </c>
      <c r="K106" s="80">
        <f>F97</f>
        <v>0</v>
      </c>
    </row>
    <row r="107" spans="1:11">
      <c r="A107" s="61"/>
      <c r="B107" s="839"/>
      <c r="C107" s="49" t="s">
        <v>148</v>
      </c>
      <c r="D107" s="48" t="s">
        <v>149</v>
      </c>
      <c r="E107" s="80">
        <f>NSW!K29</f>
        <v>0</v>
      </c>
      <c r="F107" s="80">
        <f>NSW!L29</f>
        <v>0</v>
      </c>
      <c r="G107" s="150"/>
      <c r="H107" s="119" t="s">
        <v>360</v>
      </c>
      <c r="I107" s="19" t="s">
        <v>361</v>
      </c>
      <c r="J107" s="80">
        <f>E95</f>
        <v>273.74770000000007</v>
      </c>
      <c r="K107" s="80">
        <f>F95</f>
        <v>337.88460000000003</v>
      </c>
    </row>
    <row r="108" spans="1:11">
      <c r="A108" s="61"/>
      <c r="B108" s="839"/>
      <c r="C108" s="49" t="s">
        <v>26</v>
      </c>
      <c r="D108" s="48" t="s">
        <v>150</v>
      </c>
      <c r="E108" s="80">
        <f>NSW!K30</f>
        <v>0</v>
      </c>
      <c r="F108" s="80">
        <f>NSW!L30</f>
        <v>0</v>
      </c>
      <c r="G108" s="150"/>
      <c r="H108" s="119" t="s">
        <v>362</v>
      </c>
      <c r="I108" s="19" t="s">
        <v>91</v>
      </c>
      <c r="J108" s="80">
        <f>E100</f>
        <v>7.1749999999999998</v>
      </c>
      <c r="K108" s="80">
        <f>F100</f>
        <v>1.52</v>
      </c>
    </row>
    <row r="109" spans="1:11">
      <c r="A109" s="61"/>
      <c r="B109" s="839"/>
      <c r="C109" s="49" t="s">
        <v>27</v>
      </c>
      <c r="D109" s="48" t="s">
        <v>95</v>
      </c>
      <c r="E109" s="80">
        <f>NSW!K31</f>
        <v>8233.4067799999993</v>
      </c>
      <c r="F109" s="80">
        <f>NSW!L31</f>
        <v>11959.483500000013</v>
      </c>
      <c r="G109" s="150"/>
      <c r="H109" s="119" t="s">
        <v>363</v>
      </c>
      <c r="I109" s="19" t="s">
        <v>94</v>
      </c>
      <c r="J109" s="80">
        <f>E104</f>
        <v>168.43200000000004</v>
      </c>
      <c r="K109" s="80">
        <f>F104</f>
        <v>195.15300000000002</v>
      </c>
    </row>
    <row r="110" spans="1:11">
      <c r="A110" s="61"/>
      <c r="B110" s="839"/>
      <c r="C110" s="49" t="s">
        <v>28</v>
      </c>
      <c r="D110" s="48" t="s">
        <v>96</v>
      </c>
      <c r="E110" s="80">
        <f>NSW!K32</f>
        <v>0</v>
      </c>
      <c r="F110" s="80">
        <f>NSW!L32</f>
        <v>0</v>
      </c>
      <c r="G110" s="150"/>
      <c r="H110" s="119" t="s">
        <v>364</v>
      </c>
      <c r="I110" s="19" t="s">
        <v>87</v>
      </c>
      <c r="J110" s="80">
        <f>E94</f>
        <v>0</v>
      </c>
      <c r="K110" s="80">
        <f>F94</f>
        <v>5.0000000000000001E-3</v>
      </c>
    </row>
    <row r="111" spans="1:11">
      <c r="A111" s="61"/>
      <c r="B111" s="839"/>
      <c r="C111" s="49" t="s">
        <v>29</v>
      </c>
      <c r="D111" s="48" t="s">
        <v>97</v>
      </c>
      <c r="E111" s="80">
        <f>NSW!K33</f>
        <v>0.47499999999999998</v>
      </c>
      <c r="F111" s="80">
        <f>NSW!L33</f>
        <v>0</v>
      </c>
      <c r="G111" s="150"/>
      <c r="H111" s="119" t="s">
        <v>365</v>
      </c>
      <c r="I111" s="19" t="s">
        <v>145</v>
      </c>
      <c r="J111" s="80">
        <f>E105</f>
        <v>0</v>
      </c>
      <c r="K111" s="80">
        <f>F105</f>
        <v>32.42</v>
      </c>
    </row>
    <row r="112" spans="1:11">
      <c r="A112" s="61"/>
      <c r="B112" s="839"/>
      <c r="C112" s="49" t="s">
        <v>99</v>
      </c>
      <c r="D112" s="48" t="s">
        <v>98</v>
      </c>
      <c r="E112" s="80">
        <f>NSW!K34</f>
        <v>0</v>
      </c>
      <c r="F112" s="80">
        <f>NSW!L34</f>
        <v>0</v>
      </c>
      <c r="G112" s="150"/>
      <c r="H112" s="119" t="s">
        <v>366</v>
      </c>
      <c r="I112" s="19" t="s">
        <v>89</v>
      </c>
      <c r="J112" s="80">
        <f>E96</f>
        <v>1.9994999999999998</v>
      </c>
      <c r="K112" s="80">
        <f>F96</f>
        <v>6.2839999999999989</v>
      </c>
    </row>
    <row r="113" spans="1:11">
      <c r="A113" s="61"/>
      <c r="B113" s="839"/>
      <c r="C113" s="49" t="s">
        <v>101</v>
      </c>
      <c r="D113" s="48" t="s">
        <v>100</v>
      </c>
      <c r="E113" s="80">
        <f>NSW!K35</f>
        <v>0</v>
      </c>
      <c r="F113" s="80">
        <f>NSW!L35</f>
        <v>0</v>
      </c>
      <c r="G113" s="150"/>
      <c r="H113" s="119" t="s">
        <v>367</v>
      </c>
      <c r="I113" s="19" t="s">
        <v>141</v>
      </c>
      <c r="J113" s="80">
        <f>E98</f>
        <v>0</v>
      </c>
      <c r="K113" s="80">
        <f>F98</f>
        <v>0</v>
      </c>
    </row>
    <row r="114" spans="1:11">
      <c r="A114" s="66"/>
      <c r="B114" s="840"/>
      <c r="C114" s="49" t="s">
        <v>30</v>
      </c>
      <c r="D114" s="48" t="s">
        <v>151</v>
      </c>
      <c r="E114" s="80">
        <f>NSW!K36</f>
        <v>0</v>
      </c>
      <c r="F114" s="80">
        <f>NSW!L36</f>
        <v>0</v>
      </c>
      <c r="G114" s="150"/>
      <c r="H114" s="119" t="s">
        <v>368</v>
      </c>
      <c r="I114" s="19" t="s">
        <v>147</v>
      </c>
      <c r="J114" s="80">
        <f>E106</f>
        <v>0</v>
      </c>
      <c r="K114" s="80">
        <f>F106</f>
        <v>0</v>
      </c>
    </row>
    <row r="115" spans="1:11">
      <c r="A115" s="59" t="s">
        <v>31</v>
      </c>
      <c r="B115" s="205" t="s">
        <v>32</v>
      </c>
      <c r="C115" s="49" t="s">
        <v>33</v>
      </c>
      <c r="D115" s="48" t="s">
        <v>102</v>
      </c>
      <c r="E115" s="80">
        <f>NSW!K37</f>
        <v>7.0575000000000001</v>
      </c>
      <c r="F115" s="80">
        <f>NSW!L37</f>
        <v>3.2834999999999996</v>
      </c>
      <c r="G115" s="150"/>
      <c r="H115" s="119" t="s">
        <v>369</v>
      </c>
      <c r="I115" s="19" t="s">
        <v>86</v>
      </c>
      <c r="J115" s="80">
        <f>E93</f>
        <v>90.266303999999963</v>
      </c>
      <c r="K115" s="80">
        <f>F93</f>
        <v>1593.5884999999978</v>
      </c>
    </row>
    <row r="116" spans="1:11" ht="12.75" customHeight="1">
      <c r="A116" s="60" t="s">
        <v>34</v>
      </c>
      <c r="B116" s="838" t="s">
        <v>152</v>
      </c>
      <c r="C116" s="49" t="s">
        <v>35</v>
      </c>
      <c r="D116" s="48" t="s">
        <v>103</v>
      </c>
      <c r="E116" s="80">
        <f>NSW!K38</f>
        <v>5714.8418099999999</v>
      </c>
      <c r="F116" s="80">
        <f>NSW!L38</f>
        <v>6709.4102699999876</v>
      </c>
      <c r="G116" s="150"/>
      <c r="H116" s="119" t="s">
        <v>370</v>
      </c>
      <c r="I116" s="19" t="s">
        <v>143</v>
      </c>
      <c r="J116" s="80">
        <f>E99</f>
        <v>0</v>
      </c>
      <c r="K116" s="80">
        <f>F99</f>
        <v>0</v>
      </c>
    </row>
    <row r="117" spans="1:11">
      <c r="A117" s="66"/>
      <c r="B117" s="840"/>
      <c r="C117" s="49" t="s">
        <v>105</v>
      </c>
      <c r="D117" s="48" t="s">
        <v>104</v>
      </c>
      <c r="E117" s="80">
        <f>NSW!K39</f>
        <v>1067.3615999999997</v>
      </c>
      <c r="F117" s="80">
        <f>NSW!L39</f>
        <v>1102.4033369999997</v>
      </c>
      <c r="G117" s="150"/>
      <c r="H117" s="119" t="s">
        <v>371</v>
      </c>
      <c r="I117" s="19" t="s">
        <v>93</v>
      </c>
      <c r="J117" s="80">
        <f>E103</f>
        <v>17850.620400000007</v>
      </c>
      <c r="K117" s="80">
        <f>F103</f>
        <v>21991.827899999989</v>
      </c>
    </row>
    <row r="118" spans="1:11">
      <c r="A118" s="60" t="s">
        <v>37</v>
      </c>
      <c r="B118" s="838" t="s">
        <v>153</v>
      </c>
      <c r="C118" s="49" t="s">
        <v>38</v>
      </c>
      <c r="D118" s="48" t="s">
        <v>106</v>
      </c>
      <c r="E118" s="80">
        <f>NSW!K40</f>
        <v>0</v>
      </c>
      <c r="F118" s="80">
        <f>NSW!L40</f>
        <v>0</v>
      </c>
      <c r="G118" s="150"/>
      <c r="H118" s="119" t="s">
        <v>372</v>
      </c>
      <c r="I118" s="19" t="s">
        <v>85</v>
      </c>
      <c r="J118" s="80">
        <f>E92</f>
        <v>1286.4969499999997</v>
      </c>
      <c r="K118" s="80">
        <f>F92</f>
        <v>4887.6534999999967</v>
      </c>
    </row>
    <row r="119" spans="1:11">
      <c r="A119" s="61"/>
      <c r="B119" s="839"/>
      <c r="C119" s="49" t="s">
        <v>39</v>
      </c>
      <c r="D119" s="48" t="s">
        <v>107</v>
      </c>
      <c r="E119" s="80">
        <f>NSW!K41</f>
        <v>1320.9823859999974</v>
      </c>
      <c r="F119" s="80">
        <f>NSW!L41</f>
        <v>3177.3779799999929</v>
      </c>
      <c r="G119" s="150"/>
      <c r="H119" s="119" t="s">
        <v>373</v>
      </c>
      <c r="I119" s="19" t="s">
        <v>374</v>
      </c>
      <c r="J119" s="80">
        <f t="shared" ref="J119:J121" si="12">E88</f>
        <v>0.90449999999999997</v>
      </c>
      <c r="K119" s="80">
        <f t="shared" ref="K119:K121" si="13">F88</f>
        <v>0.11499999999999999</v>
      </c>
    </row>
    <row r="120" spans="1:11">
      <c r="A120" s="61"/>
      <c r="B120" s="839"/>
      <c r="C120" s="49" t="s">
        <v>40</v>
      </c>
      <c r="D120" s="48" t="s">
        <v>108</v>
      </c>
      <c r="E120" s="80">
        <f>NSW!K42</f>
        <v>103.1486000000005</v>
      </c>
      <c r="F120" s="80">
        <f>NSW!L42</f>
        <v>112.6314000000004</v>
      </c>
      <c r="G120" s="150"/>
      <c r="H120" s="119" t="s">
        <v>375</v>
      </c>
      <c r="I120" s="19" t="s">
        <v>82</v>
      </c>
      <c r="J120" s="80">
        <f t="shared" si="12"/>
        <v>5978.9361260000087</v>
      </c>
      <c r="K120" s="80">
        <f t="shared" si="13"/>
        <v>8543.0020150000018</v>
      </c>
    </row>
    <row r="121" spans="1:11">
      <c r="A121" s="66"/>
      <c r="B121" s="840"/>
      <c r="C121" s="49" t="s">
        <v>41</v>
      </c>
      <c r="D121" s="48" t="s">
        <v>109</v>
      </c>
      <c r="E121" s="80">
        <f>NSW!K43</f>
        <v>381.70900000000017</v>
      </c>
      <c r="F121" s="80">
        <f>NSW!L43</f>
        <v>379.0234999999999</v>
      </c>
      <c r="G121" s="150"/>
      <c r="H121" s="119" t="s">
        <v>376</v>
      </c>
      <c r="I121" s="19" t="s">
        <v>83</v>
      </c>
      <c r="J121" s="80">
        <f t="shared" si="12"/>
        <v>1506.2928000000006</v>
      </c>
      <c r="K121" s="80">
        <f t="shared" si="13"/>
        <v>2658.3323200000009</v>
      </c>
    </row>
    <row r="122" spans="1:11">
      <c r="A122" s="60" t="s">
        <v>42</v>
      </c>
      <c r="B122" s="838" t="s">
        <v>154</v>
      </c>
      <c r="C122" s="49" t="s">
        <v>43</v>
      </c>
      <c r="D122" s="48" t="s">
        <v>110</v>
      </c>
      <c r="E122" s="80">
        <f>NSW!K44</f>
        <v>110.86030000000002</v>
      </c>
      <c r="F122" s="80">
        <f>NSW!L44</f>
        <v>347.69738599999999</v>
      </c>
      <c r="G122" s="150"/>
      <c r="H122" s="119" t="s">
        <v>377</v>
      </c>
      <c r="I122" s="19" t="s">
        <v>378</v>
      </c>
      <c r="J122" s="80">
        <f>E149</f>
        <v>265550</v>
      </c>
      <c r="K122" s="80">
        <f>F149</f>
        <v>265550</v>
      </c>
    </row>
    <row r="123" spans="1:11">
      <c r="A123" s="61"/>
      <c r="B123" s="839"/>
      <c r="C123" s="49" t="s">
        <v>44</v>
      </c>
      <c r="D123" s="48" t="s">
        <v>111</v>
      </c>
      <c r="E123" s="80">
        <f>NSW!K45</f>
        <v>1.5035000000000001</v>
      </c>
      <c r="F123" s="80">
        <f>NSW!L45</f>
        <v>5.0091800000000006</v>
      </c>
      <c r="G123" s="214" t="str">
        <f>G104</f>
        <v>NSW</v>
      </c>
      <c r="H123" s="119" t="s">
        <v>379</v>
      </c>
      <c r="I123" s="19" t="s">
        <v>176</v>
      </c>
      <c r="J123" s="80">
        <f>E123</f>
        <v>1.5035000000000001</v>
      </c>
      <c r="K123" s="80">
        <f>F123</f>
        <v>5.0091800000000006</v>
      </c>
    </row>
    <row r="124" spans="1:11">
      <c r="A124" s="66"/>
      <c r="B124" s="840"/>
      <c r="C124" s="49" t="s">
        <v>45</v>
      </c>
      <c r="D124" s="48" t="s">
        <v>155</v>
      </c>
      <c r="E124" s="80">
        <f>NSW!K46</f>
        <v>6.28</v>
      </c>
      <c r="F124" s="80">
        <f>NSW!L46</f>
        <v>2.52</v>
      </c>
      <c r="G124" s="150"/>
      <c r="H124" s="119" t="s">
        <v>380</v>
      </c>
      <c r="I124" s="19" t="s">
        <v>381</v>
      </c>
      <c r="J124" s="80">
        <f>E137</f>
        <v>0</v>
      </c>
      <c r="K124" s="80">
        <f>F137</f>
        <v>0</v>
      </c>
    </row>
    <row r="125" spans="1:11">
      <c r="A125" s="60" t="s">
        <v>46</v>
      </c>
      <c r="B125" s="838" t="s">
        <v>156</v>
      </c>
      <c r="C125" s="49" t="s">
        <v>47</v>
      </c>
      <c r="D125" s="48" t="s">
        <v>112</v>
      </c>
      <c r="E125" s="80">
        <f>NSW!K47</f>
        <v>15183.534470000024</v>
      </c>
      <c r="F125" s="80">
        <f>NSW!L47</f>
        <v>14265.096328000029</v>
      </c>
      <c r="G125" s="150"/>
      <c r="H125" s="119" t="s">
        <v>382</v>
      </c>
      <c r="I125" s="19" t="s">
        <v>383</v>
      </c>
      <c r="J125" s="80">
        <f>E133</f>
        <v>96.72</v>
      </c>
      <c r="K125" s="80">
        <f>F133</f>
        <v>47.999999999999993</v>
      </c>
    </row>
    <row r="126" spans="1:11">
      <c r="A126" s="61"/>
      <c r="B126" s="839"/>
      <c r="C126" s="49" t="s">
        <v>48</v>
      </c>
      <c r="D126" s="48" t="s">
        <v>157</v>
      </c>
      <c r="E126" s="80">
        <f>NSW!K48</f>
        <v>48258.045390000181</v>
      </c>
      <c r="F126" s="80">
        <f>NSW!L48</f>
        <v>49222.57785800015</v>
      </c>
      <c r="G126" s="150"/>
      <c r="H126" s="119" t="s">
        <v>384</v>
      </c>
      <c r="I126" s="19" t="s">
        <v>106</v>
      </c>
      <c r="J126" s="80">
        <f>E118</f>
        <v>0</v>
      </c>
      <c r="K126" s="80">
        <f>F118</f>
        <v>0</v>
      </c>
    </row>
    <row r="127" spans="1:11">
      <c r="A127" s="66"/>
      <c r="B127" s="840"/>
      <c r="C127" s="49" t="s">
        <v>49</v>
      </c>
      <c r="D127" s="48" t="s">
        <v>158</v>
      </c>
      <c r="E127" s="80">
        <f>NSW!K49</f>
        <v>638.46699999999998</v>
      </c>
      <c r="F127" s="80">
        <f>NSW!L49</f>
        <v>7973.1199999999981</v>
      </c>
      <c r="G127" s="150"/>
      <c r="H127" s="119" t="s">
        <v>385</v>
      </c>
      <c r="I127" s="19" t="s">
        <v>108</v>
      </c>
      <c r="J127" s="80">
        <f>E120</f>
        <v>103.1486000000005</v>
      </c>
      <c r="K127" s="80">
        <f>F120</f>
        <v>112.6314000000004</v>
      </c>
    </row>
    <row r="128" spans="1:11">
      <c r="A128" s="60" t="s">
        <v>50</v>
      </c>
      <c r="B128" s="838" t="s">
        <v>159</v>
      </c>
      <c r="C128" s="49" t="s">
        <v>51</v>
      </c>
      <c r="D128" s="48" t="s">
        <v>113</v>
      </c>
      <c r="E128" s="163">
        <f>'Gap data 1'!$F51*'Gap data 2'!$C6/1000000</f>
        <v>60615.504904458328</v>
      </c>
      <c r="F128" s="163">
        <f>'Gap data 1'!$F51*'Gap data 2'!$C7/1000000</f>
        <v>61071.432132888112</v>
      </c>
      <c r="G128" s="150"/>
      <c r="H128" s="119" t="s">
        <v>386</v>
      </c>
      <c r="I128" s="19" t="s">
        <v>107</v>
      </c>
      <c r="J128" s="80">
        <f>E119</f>
        <v>1320.9823859999974</v>
      </c>
      <c r="K128" s="80">
        <f>F119</f>
        <v>3177.3779799999929</v>
      </c>
    </row>
    <row r="129" spans="1:11">
      <c r="A129" s="61"/>
      <c r="B129" s="839"/>
      <c r="C129" s="49" t="s">
        <v>115</v>
      </c>
      <c r="D129" s="48" t="s">
        <v>114</v>
      </c>
      <c r="E129" s="163">
        <f>'Gap data 1'!$F52*'Gap data 2'!$C6/1000000</f>
        <v>98712.413324917216</v>
      </c>
      <c r="F129" s="163">
        <f>'Gap data 1'!$F52*'Gap data 2'!$C7/1000000</f>
        <v>99454.891294700414</v>
      </c>
      <c r="G129" s="150"/>
      <c r="H129" s="119" t="s">
        <v>387</v>
      </c>
      <c r="I129" s="19" t="s">
        <v>388</v>
      </c>
      <c r="J129" s="80">
        <f t="shared" ref="J129:J130" si="14">E135</f>
        <v>0</v>
      </c>
      <c r="K129" s="80">
        <f t="shared" ref="K129:K130" si="15">F135</f>
        <v>0</v>
      </c>
    </row>
    <row r="130" spans="1:11">
      <c r="A130" s="61"/>
      <c r="B130" s="839"/>
      <c r="C130" s="49" t="s">
        <v>52</v>
      </c>
      <c r="D130" s="48" t="s">
        <v>116</v>
      </c>
      <c r="E130" s="80">
        <f>NSW!K52</f>
        <v>0</v>
      </c>
      <c r="F130" s="80">
        <f>NSW!L52</f>
        <v>0</v>
      </c>
      <c r="G130" s="150"/>
      <c r="H130" s="119" t="s">
        <v>389</v>
      </c>
      <c r="I130" s="19" t="s">
        <v>390</v>
      </c>
      <c r="J130" s="80">
        <f t="shared" si="14"/>
        <v>0</v>
      </c>
      <c r="K130" s="80">
        <f t="shared" si="15"/>
        <v>0</v>
      </c>
    </row>
    <row r="131" spans="1:11">
      <c r="A131" s="66"/>
      <c r="B131" s="840"/>
      <c r="C131" s="49" t="s">
        <v>118</v>
      </c>
      <c r="D131" s="48" t="s">
        <v>117</v>
      </c>
      <c r="E131" s="80">
        <f>NSW!K53</f>
        <v>0</v>
      </c>
      <c r="F131" s="80">
        <f>NSW!L53</f>
        <v>0</v>
      </c>
      <c r="G131" s="150"/>
      <c r="H131" s="119" t="s">
        <v>391</v>
      </c>
      <c r="I131" s="19" t="s">
        <v>392</v>
      </c>
      <c r="J131" s="80">
        <f>E134</f>
        <v>0</v>
      </c>
      <c r="K131" s="80">
        <f>F134</f>
        <v>0</v>
      </c>
    </row>
    <row r="132" spans="1:11" ht="25.5">
      <c r="A132" s="60" t="s">
        <v>53</v>
      </c>
      <c r="B132" s="838" t="s">
        <v>54</v>
      </c>
      <c r="C132" s="49" t="s">
        <v>55</v>
      </c>
      <c r="D132" s="48" t="s">
        <v>160</v>
      </c>
      <c r="E132" s="80">
        <f>NSW!K54</f>
        <v>1036.9860000000003</v>
      </c>
      <c r="F132" s="80">
        <f>NSW!L54</f>
        <v>991.26150000000007</v>
      </c>
      <c r="G132" s="150"/>
      <c r="H132" s="62"/>
      <c r="I132" s="63" t="s">
        <v>405</v>
      </c>
      <c r="J132" s="64"/>
      <c r="K132" s="65"/>
    </row>
    <row r="133" spans="1:11">
      <c r="A133" s="61"/>
      <c r="B133" s="839"/>
      <c r="C133" s="49" t="s">
        <v>56</v>
      </c>
      <c r="D133" s="48" t="s">
        <v>161</v>
      </c>
      <c r="E133" s="80">
        <f>NSW!K55</f>
        <v>96.72</v>
      </c>
      <c r="F133" s="80">
        <f>NSW!L55</f>
        <v>47.999999999999993</v>
      </c>
      <c r="G133" s="150"/>
      <c r="H133" s="119" t="s">
        <v>393</v>
      </c>
      <c r="I133" s="19" t="s">
        <v>394</v>
      </c>
      <c r="J133" s="163">
        <f>'Gap data 2'!$B$17*'Gap data 2'!C6</f>
        <v>2138463.8643363267</v>
      </c>
      <c r="K133" s="163">
        <f>'Gap data 2'!$B$17*'Gap data 2'!C7</f>
        <v>2154548.5922339312</v>
      </c>
    </row>
    <row r="134" spans="1:11">
      <c r="A134" s="61"/>
      <c r="B134" s="839"/>
      <c r="C134" s="49" t="s">
        <v>57</v>
      </c>
      <c r="D134" s="48" t="s">
        <v>162</v>
      </c>
      <c r="E134" s="80">
        <f>NSW!K56</f>
        <v>0</v>
      </c>
      <c r="F134" s="80">
        <f>NSW!L56</f>
        <v>0</v>
      </c>
      <c r="G134" s="150"/>
      <c r="H134" s="119" t="s">
        <v>395</v>
      </c>
      <c r="I134" s="19" t="s">
        <v>396</v>
      </c>
      <c r="J134" s="221">
        <v>0</v>
      </c>
      <c r="K134" s="221">
        <v>0</v>
      </c>
    </row>
    <row r="135" spans="1:11">
      <c r="A135" s="61"/>
      <c r="B135" s="839"/>
      <c r="C135" s="49" t="s">
        <v>120</v>
      </c>
      <c r="D135" s="48" t="s">
        <v>119</v>
      </c>
      <c r="E135" s="80">
        <f>NSW!K57</f>
        <v>0</v>
      </c>
      <c r="F135" s="80">
        <f>NSW!L57</f>
        <v>0</v>
      </c>
      <c r="G135" s="150"/>
      <c r="H135" s="72"/>
      <c r="I135" s="73" t="s">
        <v>408</v>
      </c>
      <c r="J135" s="74"/>
      <c r="K135" s="75"/>
    </row>
    <row r="136" spans="1:11">
      <c r="A136" s="61"/>
      <c r="B136" s="839"/>
      <c r="C136" s="49" t="s">
        <v>122</v>
      </c>
      <c r="D136" s="48" t="s">
        <v>121</v>
      </c>
      <c r="E136" s="80">
        <f>NSW!K58</f>
        <v>0</v>
      </c>
      <c r="F136" s="80">
        <f>NSW!L58</f>
        <v>0</v>
      </c>
      <c r="G136" s="150"/>
      <c r="H136" s="58">
        <v>1</v>
      </c>
      <c r="I136" s="76" t="s">
        <v>397</v>
      </c>
      <c r="J136" s="80">
        <f>SUM(E101:E102,E107:E108)</f>
        <v>1.4750000000000001</v>
      </c>
      <c r="K136" s="80">
        <f>SUM(F101:F102,F107:F108)</f>
        <v>0.02</v>
      </c>
    </row>
    <row r="137" spans="1:11">
      <c r="A137" s="61"/>
      <c r="B137" s="839"/>
      <c r="C137" s="49" t="s">
        <v>124</v>
      </c>
      <c r="D137" s="48" t="s">
        <v>123</v>
      </c>
      <c r="E137" s="80">
        <f>NSW!K59</f>
        <v>0</v>
      </c>
      <c r="F137" s="80">
        <f>NSW!L59</f>
        <v>0</v>
      </c>
      <c r="G137" s="150"/>
      <c r="H137" s="58">
        <v>2</v>
      </c>
      <c r="I137" s="76" t="s">
        <v>398</v>
      </c>
      <c r="J137" s="80">
        <f>SUM(E109:E111,E114)</f>
        <v>8233.8817799999997</v>
      </c>
      <c r="K137" s="80">
        <f>SUM(F109:F111,F114)</f>
        <v>11959.483500000013</v>
      </c>
    </row>
    <row r="138" spans="1:11">
      <c r="A138" s="61"/>
      <c r="B138" s="839"/>
      <c r="C138" s="49" t="s">
        <v>58</v>
      </c>
      <c r="D138" s="48" t="s">
        <v>136</v>
      </c>
      <c r="E138" s="80">
        <f>NSW!K60</f>
        <v>39.077000000000005</v>
      </c>
      <c r="F138" s="80">
        <f>NSW!L60</f>
        <v>10.1425</v>
      </c>
      <c r="G138" s="150"/>
      <c r="H138" s="58">
        <v>3</v>
      </c>
      <c r="I138" s="76" t="s">
        <v>323</v>
      </c>
      <c r="J138" s="80">
        <f>SUM(E138:E141)</f>
        <v>4177.5835999999999</v>
      </c>
      <c r="K138" s="80">
        <f>SUM(F138:F141)</f>
        <v>5509.0152100000005</v>
      </c>
    </row>
    <row r="139" spans="1:11">
      <c r="A139" s="61"/>
      <c r="B139" s="839"/>
      <c r="C139" s="49" t="s">
        <v>59</v>
      </c>
      <c r="D139" s="48" t="s">
        <v>125</v>
      </c>
      <c r="E139" s="80">
        <f>NSW!K61</f>
        <v>0</v>
      </c>
      <c r="F139" s="80">
        <f>NSW!L61</f>
        <v>0</v>
      </c>
      <c r="G139" s="150"/>
      <c r="H139" s="58">
        <v>4</v>
      </c>
      <c r="I139" s="76" t="s">
        <v>159</v>
      </c>
      <c r="J139" s="80">
        <f t="shared" ref="J139:K139" si="16">SUM(E128:E131)</f>
        <v>159327.91822937556</v>
      </c>
      <c r="K139" s="80">
        <f t="shared" si="16"/>
        <v>160526.32342758853</v>
      </c>
    </row>
    <row r="140" spans="1:11" ht="25.5">
      <c r="A140" s="61"/>
      <c r="B140" s="839"/>
      <c r="C140" s="49" t="s">
        <v>60</v>
      </c>
      <c r="D140" s="48" t="s">
        <v>163</v>
      </c>
      <c r="E140" s="80">
        <f>NSW!K62</f>
        <v>4138.5065999999997</v>
      </c>
      <c r="F140" s="80">
        <f>NSW!L62</f>
        <v>5498.5282100000004</v>
      </c>
      <c r="G140" s="150"/>
      <c r="H140" s="58">
        <v>5</v>
      </c>
      <c r="I140" s="48" t="s">
        <v>399</v>
      </c>
      <c r="J140" s="80">
        <f>E142</f>
        <v>6724.4284200000066</v>
      </c>
      <c r="K140" s="80">
        <f>F142</f>
        <v>7210.8001489999851</v>
      </c>
    </row>
    <row r="141" spans="1:11">
      <c r="A141" s="66"/>
      <c r="B141" s="840"/>
      <c r="C141" s="49" t="s">
        <v>61</v>
      </c>
      <c r="D141" s="48" t="s">
        <v>126</v>
      </c>
      <c r="E141" s="80">
        <f>NSW!K63</f>
        <v>0</v>
      </c>
      <c r="F141" s="80">
        <f>NSW!L63</f>
        <v>0.34449999999999997</v>
      </c>
      <c r="G141" s="150"/>
      <c r="H141" s="58">
        <v>6</v>
      </c>
      <c r="I141" s="248" t="s">
        <v>468</v>
      </c>
      <c r="J141" s="425">
        <f t="shared" ref="J141" si="17">E143</f>
        <v>277650</v>
      </c>
      <c r="K141" s="425">
        <f t="shared" ref="K141" si="18">F143</f>
        <v>277650</v>
      </c>
    </row>
    <row r="142" spans="1:11">
      <c r="A142" s="60" t="s">
        <v>62</v>
      </c>
      <c r="B142" s="838" t="s">
        <v>164</v>
      </c>
      <c r="C142" s="49" t="s">
        <v>63</v>
      </c>
      <c r="D142" s="48" t="s">
        <v>165</v>
      </c>
      <c r="E142" s="80">
        <f>NSW!K64</f>
        <v>6724.4284200000066</v>
      </c>
      <c r="F142" s="80">
        <f>NSW!L64</f>
        <v>7210.8001489999851</v>
      </c>
      <c r="H142" s="58">
        <v>7</v>
      </c>
      <c r="I142" s="248" t="s">
        <v>469</v>
      </c>
      <c r="J142" s="425">
        <f>SUM(E144,E147)</f>
        <v>1370.9820000000002</v>
      </c>
      <c r="K142" s="425">
        <f>SUM(F144,F147)</f>
        <v>1800.2640000000001</v>
      </c>
    </row>
    <row r="143" spans="1:11">
      <c r="A143" s="61"/>
      <c r="B143" s="839"/>
      <c r="C143" s="49" t="s">
        <v>64</v>
      </c>
      <c r="D143" s="48" t="s">
        <v>127</v>
      </c>
      <c r="E143" s="371">
        <f>'Gap data 2'!$C$39</f>
        <v>277650</v>
      </c>
      <c r="F143" s="371">
        <f>'Gap data 2'!$C$39</f>
        <v>277650</v>
      </c>
      <c r="G143" s="214" t="str">
        <f>G123</f>
        <v>NSW</v>
      </c>
      <c r="H143" s="58">
        <v>8</v>
      </c>
      <c r="I143" s="76" t="s">
        <v>133</v>
      </c>
      <c r="J143" s="80">
        <f>E156</f>
        <v>52106.194231063957</v>
      </c>
      <c r="K143" s="80">
        <f>F156</f>
        <v>52106.194231063957</v>
      </c>
    </row>
    <row r="144" spans="1:11">
      <c r="A144" s="61"/>
      <c r="B144" s="839"/>
      <c r="C144" s="49" t="s">
        <v>65</v>
      </c>
      <c r="D144" s="48" t="s">
        <v>166</v>
      </c>
      <c r="E144" s="80">
        <f>NSW!K66</f>
        <v>250.75999999999996</v>
      </c>
      <c r="F144" s="80">
        <f>NSW!L66</f>
        <v>4.1899999999999995</v>
      </c>
      <c r="G144" s="151"/>
      <c r="H144" s="77"/>
    </row>
    <row r="145" spans="1:8">
      <c r="A145" s="61"/>
      <c r="B145" s="839"/>
      <c r="C145" s="49" t="s">
        <v>66</v>
      </c>
      <c r="D145" s="48" t="s">
        <v>173</v>
      </c>
      <c r="E145" s="80">
        <f>NSW!K67</f>
        <v>0</v>
      </c>
      <c r="F145" s="80">
        <f>NSW!L67</f>
        <v>0</v>
      </c>
      <c r="G145" s="151"/>
      <c r="H145" s="77"/>
    </row>
    <row r="146" spans="1:8">
      <c r="A146" s="61"/>
      <c r="B146" s="839"/>
      <c r="C146" s="49" t="s">
        <v>67</v>
      </c>
      <c r="D146" s="48" t="s">
        <v>174</v>
      </c>
      <c r="E146" s="80">
        <f>NSW!K68</f>
        <v>12832.73000000001</v>
      </c>
      <c r="F146" s="80">
        <f>NSW!L68</f>
        <v>9741.1300000000028</v>
      </c>
      <c r="G146" s="151"/>
      <c r="H146" s="77"/>
    </row>
    <row r="147" spans="1:8">
      <c r="A147" s="61"/>
      <c r="B147" s="839"/>
      <c r="C147" s="49" t="s">
        <v>68</v>
      </c>
      <c r="D147" s="48" t="s">
        <v>175</v>
      </c>
      <c r="E147" s="80">
        <f>NSW!K69</f>
        <v>1120.2220000000002</v>
      </c>
      <c r="F147" s="80">
        <f>NSW!L69</f>
        <v>1796.0740000000001</v>
      </c>
      <c r="G147" s="151"/>
      <c r="H147" s="77"/>
    </row>
    <row r="148" spans="1:8">
      <c r="A148" s="61"/>
      <c r="B148" s="839"/>
      <c r="C148" s="49" t="s">
        <v>128</v>
      </c>
      <c r="D148" s="48" t="s">
        <v>167</v>
      </c>
      <c r="E148" s="114">
        <f>IF(ISNUMBER(NSW!K70),NSW!K70,0)+'Gap data 2'!$C$32</f>
        <v>203120.15490711384</v>
      </c>
      <c r="F148" s="114">
        <f>IF(ISNUMBER(NSW!L70),NSW!L70,0)+'Gap data 2'!$C$32</f>
        <v>204207.92390711384</v>
      </c>
      <c r="G148" s="151"/>
      <c r="H148" s="77"/>
    </row>
    <row r="149" spans="1:8">
      <c r="A149" s="61"/>
      <c r="B149" s="839"/>
      <c r="C149" s="49" t="s">
        <v>69</v>
      </c>
      <c r="D149" s="48" t="s">
        <v>129</v>
      </c>
      <c r="E149" s="371">
        <f>'Gap data 2'!$C$35</f>
        <v>265550</v>
      </c>
      <c r="F149" s="371">
        <f>'Gap data 2'!$C$35</f>
        <v>265550</v>
      </c>
      <c r="G149" s="151"/>
      <c r="H149" s="77"/>
    </row>
    <row r="150" spans="1:8">
      <c r="A150" s="66"/>
      <c r="B150" s="840"/>
      <c r="C150" s="49" t="s">
        <v>70</v>
      </c>
      <c r="D150" s="48" t="s">
        <v>168</v>
      </c>
      <c r="E150" s="80">
        <f>NSW!K72</f>
        <v>0</v>
      </c>
      <c r="F150" s="80">
        <f>NSW!L72</f>
        <v>0</v>
      </c>
      <c r="G150" s="151"/>
      <c r="H150" s="77"/>
    </row>
    <row r="151" spans="1:8">
      <c r="A151" s="60" t="s">
        <v>71</v>
      </c>
      <c r="B151" s="838" t="s">
        <v>169</v>
      </c>
      <c r="C151" s="49" t="s">
        <v>72</v>
      </c>
      <c r="D151" s="48" t="s">
        <v>170</v>
      </c>
      <c r="E151" s="163">
        <f>'Gap data 1'!$F74*'Gap data 2'!$C6/1000000</f>
        <v>13596.829714759106</v>
      </c>
      <c r="F151" s="163">
        <f>'Gap data 1'!$F74*'Gap data 2'!$C7/1000000</f>
        <v>13699.099998526484</v>
      </c>
      <c r="G151" s="151"/>
      <c r="H151" s="77"/>
    </row>
    <row r="152" spans="1:8">
      <c r="A152" s="61"/>
      <c r="B152" s="839"/>
      <c r="C152" s="49" t="s">
        <v>73</v>
      </c>
      <c r="D152" s="48" t="s">
        <v>130</v>
      </c>
      <c r="E152" s="163">
        <f>'Gap data 1'!$F75*'Gap data 2'!$C6/1000000</f>
        <v>1021.6934020488757</v>
      </c>
      <c r="F152" s="163">
        <f>'Gap data 1'!$F75*'Gap data 2'!$C7/1000000</f>
        <v>1029.3781988980543</v>
      </c>
      <c r="G152" s="151"/>
      <c r="H152" s="77"/>
    </row>
    <row r="153" spans="1:8">
      <c r="A153" s="66"/>
      <c r="B153" s="840"/>
      <c r="C153" s="49" t="s">
        <v>74</v>
      </c>
      <c r="D153" s="48" t="s">
        <v>131</v>
      </c>
      <c r="E153" s="80">
        <f>NSW!K75</f>
        <v>182.66380000000004</v>
      </c>
      <c r="F153" s="80">
        <f>NSW!L75</f>
        <v>188.49996000000004</v>
      </c>
      <c r="G153" s="151"/>
      <c r="H153" s="77"/>
    </row>
    <row r="154" spans="1:8" ht="38.25">
      <c r="A154" s="60" t="s">
        <v>75</v>
      </c>
      <c r="B154" s="838" t="s">
        <v>76</v>
      </c>
      <c r="C154" s="49" t="s">
        <v>77</v>
      </c>
      <c r="D154" s="48" t="s">
        <v>171</v>
      </c>
      <c r="E154" s="80">
        <f>NSW!K76</f>
        <v>1133.1767380000008</v>
      </c>
      <c r="F154" s="80">
        <f>NSW!L76</f>
        <v>1215.225015</v>
      </c>
      <c r="G154" s="151"/>
      <c r="H154" s="77"/>
    </row>
    <row r="155" spans="1:8">
      <c r="A155" s="61"/>
      <c r="B155" s="839"/>
      <c r="C155" s="49" t="s">
        <v>78</v>
      </c>
      <c r="D155" s="48" t="s">
        <v>132</v>
      </c>
      <c r="E155" s="80">
        <f>NSW!K77</f>
        <v>84.731099999999984</v>
      </c>
      <c r="F155" s="80">
        <f>NSW!L77</f>
        <v>59.213500000000025</v>
      </c>
      <c r="G155" s="151"/>
      <c r="H155" s="77"/>
    </row>
    <row r="156" spans="1:8">
      <c r="A156" s="61"/>
      <c r="B156" s="839"/>
      <c r="C156" s="49" t="s">
        <v>134</v>
      </c>
      <c r="D156" s="48" t="s">
        <v>133</v>
      </c>
      <c r="E156" s="114">
        <f>'Gap data 2'!$C$29</f>
        <v>52106.194231063957</v>
      </c>
      <c r="F156" s="114">
        <f>'Gap data 2'!$C$29</f>
        <v>52106.194231063957</v>
      </c>
      <c r="G156" s="151"/>
      <c r="H156" s="77"/>
    </row>
    <row r="157" spans="1:8">
      <c r="A157" s="66"/>
      <c r="B157" s="840"/>
      <c r="C157" s="49" t="s">
        <v>172</v>
      </c>
      <c r="D157" s="48" t="s">
        <v>135</v>
      </c>
      <c r="E157" s="80">
        <f>NSW!K79</f>
        <v>0</v>
      </c>
      <c r="F157" s="80">
        <f>NSW!L79</f>
        <v>0</v>
      </c>
      <c r="G157" s="151"/>
      <c r="H157" s="77"/>
    </row>
    <row r="158" spans="1:8">
      <c r="G158" s="127"/>
      <c r="H158" s="77"/>
    </row>
    <row r="159" spans="1:8" s="213" customFormat="1" ht="15.75">
      <c r="A159" s="213" t="s">
        <v>671</v>
      </c>
      <c r="G159" s="212"/>
      <c r="H159" s="213" t="str">
        <f>A159</f>
        <v>Adjusted NT data</v>
      </c>
    </row>
    <row r="160" spans="1:8">
      <c r="G160" s="127"/>
    </row>
    <row r="161" spans="1:11">
      <c r="A161" s="50" t="s">
        <v>3</v>
      </c>
      <c r="B161" s="838" t="s">
        <v>137</v>
      </c>
      <c r="C161" s="49" t="s">
        <v>4</v>
      </c>
      <c r="D161" s="48" t="s">
        <v>79</v>
      </c>
      <c r="E161" s="752">
        <f>F161</f>
        <v>0</v>
      </c>
      <c r="F161" s="752">
        <f>NT!L8/2</f>
        <v>0</v>
      </c>
      <c r="G161" s="150"/>
      <c r="H161" s="119" t="s">
        <v>324</v>
      </c>
      <c r="I161" s="18" t="s">
        <v>325</v>
      </c>
      <c r="J161" s="80">
        <f>E226</f>
        <v>148.71247674875079</v>
      </c>
      <c r="K161" s="80">
        <f>F226</f>
        <v>148.71247674875079</v>
      </c>
    </row>
    <row r="162" spans="1:11">
      <c r="A162" s="53"/>
      <c r="B162" s="839"/>
      <c r="C162" s="49" t="s">
        <v>138</v>
      </c>
      <c r="D162" s="48" t="s">
        <v>139</v>
      </c>
      <c r="E162" s="752">
        <f t="shared" ref="E162:E202" si="19">F162</f>
        <v>0</v>
      </c>
      <c r="F162" s="752">
        <f>NT!L9/2</f>
        <v>0</v>
      </c>
      <c r="G162" s="150"/>
      <c r="H162" s="119" t="s">
        <v>326</v>
      </c>
      <c r="I162" s="18" t="s">
        <v>327</v>
      </c>
      <c r="J162" s="80">
        <f>E228</f>
        <v>0</v>
      </c>
      <c r="K162" s="80">
        <f>F228</f>
        <v>0</v>
      </c>
    </row>
    <row r="163" spans="1:11">
      <c r="A163" s="56"/>
      <c r="B163" s="840"/>
      <c r="C163" s="49" t="s">
        <v>81</v>
      </c>
      <c r="D163" s="48" t="s">
        <v>80</v>
      </c>
      <c r="E163" s="752">
        <f t="shared" si="19"/>
        <v>0</v>
      </c>
      <c r="F163" s="752">
        <f>NT!L10/2</f>
        <v>0</v>
      </c>
      <c r="G163" s="150"/>
      <c r="H163" s="119" t="s">
        <v>328</v>
      </c>
      <c r="I163" s="18" t="s">
        <v>130</v>
      </c>
      <c r="J163" s="80">
        <f>E227</f>
        <v>0</v>
      </c>
      <c r="K163" s="80">
        <f>F227</f>
        <v>0</v>
      </c>
    </row>
    <row r="164" spans="1:11">
      <c r="A164" s="59" t="s">
        <v>5</v>
      </c>
      <c r="B164" s="129" t="s">
        <v>6</v>
      </c>
      <c r="C164" s="49" t="s">
        <v>7</v>
      </c>
      <c r="D164" s="48" t="s">
        <v>82</v>
      </c>
      <c r="E164" s="752">
        <f t="shared" si="19"/>
        <v>16.284655403595028</v>
      </c>
      <c r="F164" s="752">
        <f>NT!L11/2</f>
        <v>16.284655403595028</v>
      </c>
      <c r="G164" s="150"/>
      <c r="H164" s="119" t="s">
        <v>329</v>
      </c>
      <c r="I164" s="18" t="s">
        <v>330</v>
      </c>
      <c r="J164" s="80">
        <f>E197</f>
        <v>0</v>
      </c>
      <c r="K164" s="80">
        <f>F197</f>
        <v>0</v>
      </c>
    </row>
    <row r="165" spans="1:11">
      <c r="A165" s="59" t="s">
        <v>8</v>
      </c>
      <c r="B165" s="129" t="s">
        <v>140</v>
      </c>
      <c r="C165" s="49" t="s">
        <v>9</v>
      </c>
      <c r="D165" s="48" t="s">
        <v>83</v>
      </c>
      <c r="E165" s="752">
        <f>F165</f>
        <v>151.48433298766059</v>
      </c>
      <c r="F165" s="752">
        <f>NT!L12/2</f>
        <v>151.48433298766059</v>
      </c>
      <c r="G165" s="150"/>
      <c r="H165" s="119" t="s">
        <v>331</v>
      </c>
      <c r="I165" s="18" t="s">
        <v>332</v>
      </c>
      <c r="J165" s="80">
        <f>E199</f>
        <v>0</v>
      </c>
      <c r="K165" s="80">
        <f>F199</f>
        <v>0</v>
      </c>
    </row>
    <row r="166" spans="1:11">
      <c r="A166" s="60" t="s">
        <v>10</v>
      </c>
      <c r="B166" s="838" t="s">
        <v>11</v>
      </c>
      <c r="C166" s="49" t="s">
        <v>12</v>
      </c>
      <c r="D166" s="48" t="s">
        <v>84</v>
      </c>
      <c r="E166" s="752">
        <f t="shared" si="19"/>
        <v>33.274222523119704</v>
      </c>
      <c r="F166" s="752">
        <f>NT!L13/2</f>
        <v>33.274222523119704</v>
      </c>
      <c r="G166" s="150"/>
      <c r="H166" s="119" t="s">
        <v>333</v>
      </c>
      <c r="I166" s="18" t="s">
        <v>334</v>
      </c>
      <c r="J166" s="80">
        <f>E196</f>
        <v>0</v>
      </c>
      <c r="K166" s="80">
        <f>F196</f>
        <v>0</v>
      </c>
    </row>
    <row r="167" spans="1:11">
      <c r="A167" s="61"/>
      <c r="B167" s="839"/>
      <c r="C167" s="49" t="s">
        <v>13</v>
      </c>
      <c r="D167" s="48" t="s">
        <v>85</v>
      </c>
      <c r="E167" s="752">
        <f t="shared" si="19"/>
        <v>0</v>
      </c>
      <c r="F167" s="752">
        <f>NT!L14/2</f>
        <v>0</v>
      </c>
      <c r="G167" s="150"/>
      <c r="H167" s="119" t="s">
        <v>335</v>
      </c>
      <c r="I167" s="18" t="s">
        <v>336</v>
      </c>
      <c r="J167" s="80">
        <f>E162</f>
        <v>0</v>
      </c>
      <c r="K167" s="80">
        <f>F162</f>
        <v>0</v>
      </c>
    </row>
    <row r="168" spans="1:11">
      <c r="A168" s="61"/>
      <c r="B168" s="839"/>
      <c r="C168" s="49" t="s">
        <v>14</v>
      </c>
      <c r="D168" s="48" t="s">
        <v>86</v>
      </c>
      <c r="E168" s="752">
        <f t="shared" si="19"/>
        <v>25.72330380333096</v>
      </c>
      <c r="F168" s="752">
        <f>NT!L15/2</f>
        <v>25.72330380333096</v>
      </c>
      <c r="G168" s="150"/>
      <c r="H168" s="119" t="s">
        <v>337</v>
      </c>
      <c r="I168" s="18" t="s">
        <v>322</v>
      </c>
      <c r="J168" s="80">
        <f t="shared" ref="J168:J169" si="20">E200</f>
        <v>696.22576987064792</v>
      </c>
      <c r="K168" s="80">
        <f t="shared" ref="K168:K169" si="21">F200</f>
        <v>696.22576987064792</v>
      </c>
    </row>
    <row r="169" spans="1:11">
      <c r="A169" s="61"/>
      <c r="B169" s="839"/>
      <c r="C169" s="49" t="s">
        <v>15</v>
      </c>
      <c r="D169" s="48" t="s">
        <v>87</v>
      </c>
      <c r="E169" s="752">
        <f t="shared" si="19"/>
        <v>0</v>
      </c>
      <c r="F169" s="752">
        <f>NT!L16/2</f>
        <v>0</v>
      </c>
      <c r="G169" s="150"/>
      <c r="H169" s="119" t="s">
        <v>338</v>
      </c>
      <c r="I169" s="18" t="s">
        <v>339</v>
      </c>
      <c r="J169" s="80">
        <f t="shared" si="20"/>
        <v>244.61631308378918</v>
      </c>
      <c r="K169" s="80">
        <f t="shared" si="21"/>
        <v>244.61631308378918</v>
      </c>
    </row>
    <row r="170" spans="1:11">
      <c r="A170" s="61"/>
      <c r="B170" s="839"/>
      <c r="C170" s="49" t="s">
        <v>16</v>
      </c>
      <c r="D170" s="48" t="s">
        <v>88</v>
      </c>
      <c r="E170" s="752">
        <f t="shared" si="19"/>
        <v>0</v>
      </c>
      <c r="F170" s="752">
        <f>NT!L17/2</f>
        <v>0</v>
      </c>
      <c r="G170" s="150"/>
      <c r="H170" s="119" t="s">
        <v>340</v>
      </c>
      <c r="I170" s="18" t="s">
        <v>341</v>
      </c>
      <c r="J170" s="80">
        <f>E207</f>
        <v>84.230976225491531</v>
      </c>
      <c r="K170" s="80">
        <f>F207</f>
        <v>84.230976225491531</v>
      </c>
    </row>
    <row r="171" spans="1:11">
      <c r="A171" s="61"/>
      <c r="B171" s="839"/>
      <c r="C171" s="49" t="s">
        <v>17</v>
      </c>
      <c r="D171" s="48" t="s">
        <v>89</v>
      </c>
      <c r="E171" s="752">
        <f t="shared" si="19"/>
        <v>0</v>
      </c>
      <c r="F171" s="752">
        <f>NT!L18/2</f>
        <v>0</v>
      </c>
      <c r="G171" s="150"/>
      <c r="H171" s="119" t="s">
        <v>342</v>
      </c>
      <c r="I171" s="18" t="s">
        <v>343</v>
      </c>
      <c r="J171" s="80">
        <f>E202</f>
        <v>9.4267007435337309</v>
      </c>
      <c r="K171" s="80">
        <f>F202</f>
        <v>9.4267007435337309</v>
      </c>
    </row>
    <row r="172" spans="1:11">
      <c r="A172" s="61"/>
      <c r="B172" s="839"/>
      <c r="C172" s="49" t="s">
        <v>18</v>
      </c>
      <c r="D172" s="48" t="s">
        <v>90</v>
      </c>
      <c r="E172" s="752">
        <f t="shared" si="19"/>
        <v>0</v>
      </c>
      <c r="F172" s="752">
        <f>NT!L19/2</f>
        <v>0</v>
      </c>
      <c r="G172" s="150"/>
      <c r="H172" s="119" t="s">
        <v>344</v>
      </c>
      <c r="I172" s="18" t="s">
        <v>345</v>
      </c>
      <c r="J172" s="80">
        <f t="shared" ref="J172:J173" si="22">E191</f>
        <v>43.011562327910568</v>
      </c>
      <c r="K172" s="80">
        <f t="shared" ref="K172:K173" si="23">F191</f>
        <v>43.011562327910568</v>
      </c>
    </row>
    <row r="173" spans="1:11">
      <c r="A173" s="61"/>
      <c r="B173" s="839"/>
      <c r="C173" s="49" t="s">
        <v>19</v>
      </c>
      <c r="D173" s="48" t="s">
        <v>141</v>
      </c>
      <c r="E173" s="752">
        <f t="shared" si="19"/>
        <v>0</v>
      </c>
      <c r="F173" s="752">
        <f>NT!L20/2</f>
        <v>0</v>
      </c>
      <c r="G173" s="150"/>
      <c r="H173" s="119" t="s">
        <v>346</v>
      </c>
      <c r="I173" s="18" t="s">
        <v>347</v>
      </c>
      <c r="J173" s="80">
        <f t="shared" si="22"/>
        <v>1.0274984333889745</v>
      </c>
      <c r="K173" s="80">
        <f t="shared" si="23"/>
        <v>1.0274984333889745</v>
      </c>
    </row>
    <row r="174" spans="1:11">
      <c r="A174" s="61"/>
      <c r="B174" s="839"/>
      <c r="C174" s="49" t="s">
        <v>142</v>
      </c>
      <c r="D174" s="48" t="s">
        <v>143</v>
      </c>
      <c r="E174" s="752">
        <f t="shared" si="19"/>
        <v>0</v>
      </c>
      <c r="F174" s="752">
        <f>NT!L21/2</f>
        <v>0</v>
      </c>
      <c r="G174" s="150"/>
      <c r="H174" s="119" t="s">
        <v>348</v>
      </c>
      <c r="I174" s="18" t="s">
        <v>349</v>
      </c>
      <c r="J174" s="80">
        <f>E229</f>
        <v>148.43768065610024</v>
      </c>
      <c r="K174" s="80">
        <f>F229</f>
        <v>148.43768065610024</v>
      </c>
    </row>
    <row r="175" spans="1:11">
      <c r="A175" s="61"/>
      <c r="B175" s="839"/>
      <c r="C175" s="49" t="s">
        <v>20</v>
      </c>
      <c r="D175" s="48" t="s">
        <v>91</v>
      </c>
      <c r="E175" s="752">
        <f t="shared" si="19"/>
        <v>0</v>
      </c>
      <c r="F175" s="752">
        <f>NT!L22/2</f>
        <v>0</v>
      </c>
      <c r="G175" s="150"/>
      <c r="H175" s="119" t="s">
        <v>350</v>
      </c>
      <c r="I175" s="18" t="s">
        <v>351</v>
      </c>
      <c r="J175" s="80">
        <f>IFERROR(E232+E187+E188+E190,"")</f>
        <v>0</v>
      </c>
      <c r="K175" s="80">
        <f>F232+F187+F188+F190</f>
        <v>0</v>
      </c>
    </row>
    <row r="176" spans="1:11">
      <c r="A176" s="61"/>
      <c r="B176" s="839"/>
      <c r="C176" s="49" t="s">
        <v>21</v>
      </c>
      <c r="D176" s="48" t="s">
        <v>144</v>
      </c>
      <c r="E176" s="752">
        <f t="shared" si="19"/>
        <v>0</v>
      </c>
      <c r="F176" s="752">
        <f>NT!L23/2</f>
        <v>0</v>
      </c>
      <c r="G176" s="150"/>
      <c r="H176" s="119" t="s">
        <v>352</v>
      </c>
      <c r="I176" s="18" t="s">
        <v>353</v>
      </c>
      <c r="J176" s="80">
        <f>E230</f>
        <v>0</v>
      </c>
      <c r="K176" s="80">
        <f>F230</f>
        <v>0</v>
      </c>
    </row>
    <row r="177" spans="1:11">
      <c r="A177" s="61"/>
      <c r="B177" s="839"/>
      <c r="C177" s="49" t="s">
        <v>22</v>
      </c>
      <c r="D177" s="48" t="s">
        <v>92</v>
      </c>
      <c r="E177" s="752">
        <f t="shared" si="19"/>
        <v>0</v>
      </c>
      <c r="F177" s="752">
        <f>NT!L24/2</f>
        <v>0</v>
      </c>
      <c r="G177" s="150"/>
      <c r="H177" s="119" t="s">
        <v>354</v>
      </c>
      <c r="I177" s="18" t="s">
        <v>355</v>
      </c>
      <c r="J177" s="80">
        <f>E161</f>
        <v>0</v>
      </c>
      <c r="K177" s="80">
        <f>F161</f>
        <v>0</v>
      </c>
    </row>
    <row r="178" spans="1:11">
      <c r="A178" s="61"/>
      <c r="B178" s="839"/>
      <c r="C178" s="49" t="s">
        <v>23</v>
      </c>
      <c r="D178" s="48" t="s">
        <v>93</v>
      </c>
      <c r="E178" s="752">
        <f t="shared" si="19"/>
        <v>489.579108197442</v>
      </c>
      <c r="F178" s="752">
        <f>NT!L25/2</f>
        <v>489.579108197442</v>
      </c>
      <c r="G178" s="150"/>
      <c r="H178" s="119" t="s">
        <v>356</v>
      </c>
      <c r="I178" s="18" t="s">
        <v>357</v>
      </c>
      <c r="J178" s="80">
        <f>SUM(E220:E221,E223,E225)</f>
        <v>2550.5593087171869</v>
      </c>
      <c r="K178" s="80">
        <f>SUM(F220:F221,F223,F225)</f>
        <v>2550.5593087171869</v>
      </c>
    </row>
    <row r="179" spans="1:11">
      <c r="A179" s="61"/>
      <c r="B179" s="839"/>
      <c r="C179" s="49" t="s">
        <v>24</v>
      </c>
      <c r="D179" s="48" t="s">
        <v>94</v>
      </c>
      <c r="E179" s="752">
        <f t="shared" si="19"/>
        <v>0</v>
      </c>
      <c r="F179" s="752">
        <f>NT!L26/2</f>
        <v>0</v>
      </c>
      <c r="G179" s="214" t="s">
        <v>427</v>
      </c>
      <c r="H179" s="62"/>
      <c r="I179" s="63" t="s">
        <v>407</v>
      </c>
      <c r="J179" s="64"/>
      <c r="K179" s="65"/>
    </row>
    <row r="180" spans="1:11">
      <c r="A180" s="61"/>
      <c r="B180" s="839"/>
      <c r="C180" s="49" t="s">
        <v>25</v>
      </c>
      <c r="D180" s="48" t="s">
        <v>145</v>
      </c>
      <c r="E180" s="752">
        <f t="shared" si="19"/>
        <v>0</v>
      </c>
      <c r="F180" s="752">
        <f>NT!L27/2</f>
        <v>0</v>
      </c>
      <c r="G180" s="150"/>
      <c r="H180" s="119" t="s">
        <v>358</v>
      </c>
      <c r="I180" s="19" t="s">
        <v>84</v>
      </c>
      <c r="J180" s="80">
        <f>E166</f>
        <v>33.274222523119704</v>
      </c>
      <c r="K180" s="80">
        <f>F166</f>
        <v>33.274222523119704</v>
      </c>
    </row>
    <row r="181" spans="1:11">
      <c r="A181" s="61"/>
      <c r="B181" s="839"/>
      <c r="C181" s="49" t="s">
        <v>146</v>
      </c>
      <c r="D181" s="48" t="s">
        <v>147</v>
      </c>
      <c r="E181" s="752">
        <f t="shared" si="19"/>
        <v>0</v>
      </c>
      <c r="F181" s="752">
        <f>NT!L28/2</f>
        <v>0</v>
      </c>
      <c r="G181" s="150"/>
      <c r="H181" s="119" t="s">
        <v>359</v>
      </c>
      <c r="I181" s="19" t="s">
        <v>90</v>
      </c>
      <c r="J181" s="80">
        <f>E172</f>
        <v>0</v>
      </c>
      <c r="K181" s="80">
        <f>F172</f>
        <v>0</v>
      </c>
    </row>
    <row r="182" spans="1:11">
      <c r="A182" s="61"/>
      <c r="B182" s="839"/>
      <c r="C182" s="49" t="s">
        <v>148</v>
      </c>
      <c r="D182" s="48" t="s">
        <v>149</v>
      </c>
      <c r="E182" s="752">
        <f t="shared" si="19"/>
        <v>0</v>
      </c>
      <c r="F182" s="752">
        <f>NT!L29/2</f>
        <v>0</v>
      </c>
      <c r="G182" s="150"/>
      <c r="H182" s="119" t="s">
        <v>360</v>
      </c>
      <c r="I182" s="19" t="s">
        <v>361</v>
      </c>
      <c r="J182" s="80">
        <f>E170</f>
        <v>0</v>
      </c>
      <c r="K182" s="80">
        <f>F170</f>
        <v>0</v>
      </c>
    </row>
    <row r="183" spans="1:11">
      <c r="A183" s="61"/>
      <c r="B183" s="839"/>
      <c r="C183" s="49" t="s">
        <v>26</v>
      </c>
      <c r="D183" s="48" t="s">
        <v>150</v>
      </c>
      <c r="E183" s="752">
        <f t="shared" si="19"/>
        <v>0</v>
      </c>
      <c r="F183" s="752">
        <f>NT!L30/2</f>
        <v>0</v>
      </c>
      <c r="G183" s="150"/>
      <c r="H183" s="119" t="s">
        <v>362</v>
      </c>
      <c r="I183" s="19" t="s">
        <v>91</v>
      </c>
      <c r="J183" s="80">
        <f>E175</f>
        <v>0</v>
      </c>
      <c r="K183" s="80">
        <f>F175</f>
        <v>0</v>
      </c>
    </row>
    <row r="184" spans="1:11">
      <c r="A184" s="61"/>
      <c r="B184" s="839"/>
      <c r="C184" s="49" t="s">
        <v>27</v>
      </c>
      <c r="D184" s="48" t="s">
        <v>95</v>
      </c>
      <c r="E184" s="752">
        <f t="shared" si="19"/>
        <v>0</v>
      </c>
      <c r="F184" s="752">
        <f>NT!L31/2</f>
        <v>0</v>
      </c>
      <c r="G184" s="150"/>
      <c r="H184" s="119" t="s">
        <v>363</v>
      </c>
      <c r="I184" s="19" t="s">
        <v>94</v>
      </c>
      <c r="J184" s="80">
        <f>E179</f>
        <v>0</v>
      </c>
      <c r="K184" s="80">
        <f>F179</f>
        <v>0</v>
      </c>
    </row>
    <row r="185" spans="1:11">
      <c r="A185" s="61"/>
      <c r="B185" s="839"/>
      <c r="C185" s="49" t="s">
        <v>28</v>
      </c>
      <c r="D185" s="48" t="s">
        <v>96</v>
      </c>
      <c r="E185" s="752">
        <f t="shared" si="19"/>
        <v>0</v>
      </c>
      <c r="F185" s="752">
        <f>NT!L32/2</f>
        <v>0</v>
      </c>
      <c r="G185" s="150"/>
      <c r="H185" s="119" t="s">
        <v>364</v>
      </c>
      <c r="I185" s="19" t="s">
        <v>87</v>
      </c>
      <c r="J185" s="80">
        <f>E169</f>
        <v>0</v>
      </c>
      <c r="K185" s="80">
        <f>F169</f>
        <v>0</v>
      </c>
    </row>
    <row r="186" spans="1:11">
      <c r="A186" s="61"/>
      <c r="B186" s="839"/>
      <c r="C186" s="49" t="s">
        <v>29</v>
      </c>
      <c r="D186" s="48" t="s">
        <v>97</v>
      </c>
      <c r="E186" s="752">
        <f t="shared" si="19"/>
        <v>0</v>
      </c>
      <c r="F186" s="752">
        <f>NT!L33/2</f>
        <v>0</v>
      </c>
      <c r="G186" s="150"/>
      <c r="H186" s="119" t="s">
        <v>365</v>
      </c>
      <c r="I186" s="19" t="s">
        <v>145</v>
      </c>
      <c r="J186" s="80">
        <f>E180</f>
        <v>0</v>
      </c>
      <c r="K186" s="80">
        <f>F180</f>
        <v>0</v>
      </c>
    </row>
    <row r="187" spans="1:11">
      <c r="A187" s="61"/>
      <c r="B187" s="839"/>
      <c r="C187" s="49" t="s">
        <v>99</v>
      </c>
      <c r="D187" s="48" t="s">
        <v>98</v>
      </c>
      <c r="E187" s="752">
        <f t="shared" si="19"/>
        <v>0</v>
      </c>
      <c r="F187" s="752">
        <f>NT!L34/2</f>
        <v>0</v>
      </c>
      <c r="G187" s="150"/>
      <c r="H187" s="119" t="s">
        <v>366</v>
      </c>
      <c r="I187" s="19" t="s">
        <v>89</v>
      </c>
      <c r="J187" s="80">
        <f>E171</f>
        <v>0</v>
      </c>
      <c r="K187" s="80">
        <f>F171</f>
        <v>0</v>
      </c>
    </row>
    <row r="188" spans="1:11">
      <c r="A188" s="61"/>
      <c r="B188" s="839"/>
      <c r="C188" s="49" t="s">
        <v>101</v>
      </c>
      <c r="D188" s="48" t="s">
        <v>100</v>
      </c>
      <c r="E188" s="752">
        <f t="shared" si="19"/>
        <v>0</v>
      </c>
      <c r="F188" s="752">
        <f>NT!L35/2</f>
        <v>0</v>
      </c>
      <c r="G188" s="150"/>
      <c r="H188" s="119" t="s">
        <v>367</v>
      </c>
      <c r="I188" s="19" t="s">
        <v>141</v>
      </c>
      <c r="J188" s="80">
        <f>E173</f>
        <v>0</v>
      </c>
      <c r="K188" s="80">
        <f>F173</f>
        <v>0</v>
      </c>
    </row>
    <row r="189" spans="1:11">
      <c r="A189" s="66"/>
      <c r="B189" s="840"/>
      <c r="C189" s="49" t="s">
        <v>30</v>
      </c>
      <c r="D189" s="48" t="s">
        <v>151</v>
      </c>
      <c r="E189" s="752">
        <f t="shared" si="19"/>
        <v>0</v>
      </c>
      <c r="F189" s="752">
        <f>NT!L36/2</f>
        <v>0</v>
      </c>
      <c r="G189" s="150"/>
      <c r="H189" s="119" t="s">
        <v>368</v>
      </c>
      <c r="I189" s="19" t="s">
        <v>147</v>
      </c>
      <c r="J189" s="80">
        <f>E181</f>
        <v>0</v>
      </c>
      <c r="K189" s="80">
        <f>F181</f>
        <v>0</v>
      </c>
    </row>
    <row r="190" spans="1:11">
      <c r="A190" s="59" t="s">
        <v>31</v>
      </c>
      <c r="B190" s="205" t="s">
        <v>32</v>
      </c>
      <c r="C190" s="49" t="s">
        <v>33</v>
      </c>
      <c r="D190" s="48" t="s">
        <v>102</v>
      </c>
      <c r="E190" s="752">
        <f t="shared" si="19"/>
        <v>0</v>
      </c>
      <c r="F190" s="752">
        <f>NT!L37/2</f>
        <v>0</v>
      </c>
      <c r="G190" s="150"/>
      <c r="H190" s="119" t="s">
        <v>369</v>
      </c>
      <c r="I190" s="19" t="s">
        <v>86</v>
      </c>
      <c r="J190" s="80">
        <f>E168</f>
        <v>25.72330380333096</v>
      </c>
      <c r="K190" s="80">
        <f>F168</f>
        <v>25.72330380333096</v>
      </c>
    </row>
    <row r="191" spans="1:11" ht="12.75" customHeight="1">
      <c r="A191" s="60" t="s">
        <v>34</v>
      </c>
      <c r="B191" s="838" t="s">
        <v>152</v>
      </c>
      <c r="C191" s="49" t="s">
        <v>35</v>
      </c>
      <c r="D191" s="48" t="s">
        <v>103</v>
      </c>
      <c r="E191" s="752">
        <f t="shared" si="19"/>
        <v>43.011562327910568</v>
      </c>
      <c r="F191" s="752">
        <f>NT!L38/2</f>
        <v>43.011562327910568</v>
      </c>
      <c r="G191" s="150"/>
      <c r="H191" s="119" t="s">
        <v>370</v>
      </c>
      <c r="I191" s="19" t="s">
        <v>143</v>
      </c>
      <c r="J191" s="80">
        <f>E174</f>
        <v>0</v>
      </c>
      <c r="K191" s="80">
        <f>F174</f>
        <v>0</v>
      </c>
    </row>
    <row r="192" spans="1:11">
      <c r="A192" s="66"/>
      <c r="B192" s="840"/>
      <c r="C192" s="49" t="s">
        <v>105</v>
      </c>
      <c r="D192" s="48" t="s">
        <v>104</v>
      </c>
      <c r="E192" s="752">
        <f t="shared" si="19"/>
        <v>1.0274984333889745</v>
      </c>
      <c r="F192" s="752">
        <f>NT!L39/2</f>
        <v>1.0274984333889745</v>
      </c>
      <c r="G192" s="150"/>
      <c r="H192" s="119" t="s">
        <v>371</v>
      </c>
      <c r="I192" s="19" t="s">
        <v>93</v>
      </c>
      <c r="J192" s="80">
        <f>E178</f>
        <v>489.579108197442</v>
      </c>
      <c r="K192" s="80">
        <f>F178</f>
        <v>489.579108197442</v>
      </c>
    </row>
    <row r="193" spans="1:11">
      <c r="A193" s="60" t="s">
        <v>37</v>
      </c>
      <c r="B193" s="838" t="s">
        <v>153</v>
      </c>
      <c r="C193" s="49" t="s">
        <v>38</v>
      </c>
      <c r="D193" s="48" t="s">
        <v>106</v>
      </c>
      <c r="E193" s="752">
        <f t="shared" si="19"/>
        <v>0</v>
      </c>
      <c r="F193" s="752">
        <f>NT!L40/2</f>
        <v>0</v>
      </c>
      <c r="G193" s="150"/>
      <c r="H193" s="119" t="s">
        <v>372</v>
      </c>
      <c r="I193" s="19" t="s">
        <v>85</v>
      </c>
      <c r="J193" s="80">
        <f>E167</f>
        <v>0</v>
      </c>
      <c r="K193" s="80">
        <f>F167</f>
        <v>0</v>
      </c>
    </row>
    <row r="194" spans="1:11">
      <c r="A194" s="61"/>
      <c r="B194" s="839"/>
      <c r="C194" s="49" t="s">
        <v>39</v>
      </c>
      <c r="D194" s="48" t="s">
        <v>107</v>
      </c>
      <c r="E194" s="752">
        <f t="shared" si="19"/>
        <v>8.2797257481227842</v>
      </c>
      <c r="F194" s="752">
        <f>NT!L41/2</f>
        <v>8.2797257481227842</v>
      </c>
      <c r="G194" s="150"/>
      <c r="H194" s="119" t="s">
        <v>373</v>
      </c>
      <c r="I194" s="19" t="s">
        <v>374</v>
      </c>
      <c r="J194" s="80">
        <f t="shared" ref="J194:J196" si="24">E163</f>
        <v>0</v>
      </c>
      <c r="K194" s="80">
        <f t="shared" ref="K194:K196" si="25">F163</f>
        <v>0</v>
      </c>
    </row>
    <row r="195" spans="1:11">
      <c r="A195" s="61"/>
      <c r="B195" s="839"/>
      <c r="C195" s="49" t="s">
        <v>40</v>
      </c>
      <c r="D195" s="48" t="s">
        <v>108</v>
      </c>
      <c r="E195" s="752">
        <f t="shared" si="19"/>
        <v>1.0633414019955667</v>
      </c>
      <c r="F195" s="752">
        <f>NT!L42/2</f>
        <v>1.0633414019955667</v>
      </c>
      <c r="G195" s="150"/>
      <c r="H195" s="119" t="s">
        <v>375</v>
      </c>
      <c r="I195" s="19" t="s">
        <v>82</v>
      </c>
      <c r="J195" s="80">
        <f t="shared" si="24"/>
        <v>16.284655403595028</v>
      </c>
      <c r="K195" s="80">
        <f t="shared" si="25"/>
        <v>16.284655403595028</v>
      </c>
    </row>
    <row r="196" spans="1:11">
      <c r="A196" s="66"/>
      <c r="B196" s="840"/>
      <c r="C196" s="49" t="s">
        <v>41</v>
      </c>
      <c r="D196" s="48" t="s">
        <v>109</v>
      </c>
      <c r="E196" s="752">
        <f t="shared" si="19"/>
        <v>0</v>
      </c>
      <c r="F196" s="752">
        <f>NT!L43/2</f>
        <v>0</v>
      </c>
      <c r="G196" s="150"/>
      <c r="H196" s="119" t="s">
        <v>376</v>
      </c>
      <c r="I196" s="19" t="s">
        <v>83</v>
      </c>
      <c r="J196" s="80">
        <f t="shared" si="24"/>
        <v>151.48433298766059</v>
      </c>
      <c r="K196" s="80">
        <f t="shared" si="25"/>
        <v>151.48433298766059</v>
      </c>
    </row>
    <row r="197" spans="1:11">
      <c r="A197" s="60" t="s">
        <v>42</v>
      </c>
      <c r="B197" s="838" t="s">
        <v>154</v>
      </c>
      <c r="C197" s="49" t="s">
        <v>43</v>
      </c>
      <c r="D197" s="48" t="s">
        <v>110</v>
      </c>
      <c r="E197" s="752">
        <f t="shared" si="19"/>
        <v>0</v>
      </c>
      <c r="F197" s="752">
        <f>NT!L44/2</f>
        <v>0</v>
      </c>
      <c r="G197" s="150"/>
      <c r="H197" s="119" t="s">
        <v>377</v>
      </c>
      <c r="I197" s="19" t="s">
        <v>378</v>
      </c>
      <c r="J197" s="80">
        <f>E224</f>
        <v>2472.6267016157117</v>
      </c>
      <c r="K197" s="80">
        <f>F224</f>
        <v>2500.8241098531603</v>
      </c>
    </row>
    <row r="198" spans="1:11">
      <c r="A198" s="61"/>
      <c r="B198" s="839"/>
      <c r="C198" s="49" t="s">
        <v>44</v>
      </c>
      <c r="D198" s="48" t="s">
        <v>111</v>
      </c>
      <c r="E198" s="752">
        <f t="shared" si="19"/>
        <v>0</v>
      </c>
      <c r="F198" s="752">
        <f>NT!L45/2</f>
        <v>0</v>
      </c>
      <c r="G198" s="214" t="str">
        <f>G179</f>
        <v>NT</v>
      </c>
      <c r="H198" s="119" t="s">
        <v>379</v>
      </c>
      <c r="I198" s="19" t="s">
        <v>176</v>
      </c>
      <c r="J198" s="80">
        <f>E198</f>
        <v>0</v>
      </c>
      <c r="K198" s="80">
        <f>F198</f>
        <v>0</v>
      </c>
    </row>
    <row r="199" spans="1:11">
      <c r="A199" s="66"/>
      <c r="B199" s="840"/>
      <c r="C199" s="49" t="s">
        <v>45</v>
      </c>
      <c r="D199" s="48" t="s">
        <v>155</v>
      </c>
      <c r="E199" s="752">
        <f t="shared" si="19"/>
        <v>0</v>
      </c>
      <c r="F199" s="752">
        <f>NT!L46/2</f>
        <v>0</v>
      </c>
      <c r="G199" s="150"/>
      <c r="H199" s="119" t="s">
        <v>380</v>
      </c>
      <c r="I199" s="19" t="s">
        <v>381</v>
      </c>
      <c r="J199" s="80">
        <f>E212</f>
        <v>0</v>
      </c>
      <c r="K199" s="80">
        <f>F212</f>
        <v>0</v>
      </c>
    </row>
    <row r="200" spans="1:11">
      <c r="A200" s="60" t="s">
        <v>46</v>
      </c>
      <c r="B200" s="838" t="s">
        <v>156</v>
      </c>
      <c r="C200" s="49" t="s">
        <v>47</v>
      </c>
      <c r="D200" s="48" t="s">
        <v>112</v>
      </c>
      <c r="E200" s="752">
        <f t="shared" si="19"/>
        <v>696.22576987064792</v>
      </c>
      <c r="F200" s="752">
        <f>NT!L47/2</f>
        <v>696.22576987064792</v>
      </c>
      <c r="G200" s="150"/>
      <c r="H200" s="119" t="s">
        <v>382</v>
      </c>
      <c r="I200" s="19" t="s">
        <v>383</v>
      </c>
      <c r="J200" s="80">
        <f>E208</f>
        <v>0</v>
      </c>
      <c r="K200" s="80">
        <f>F208</f>
        <v>0</v>
      </c>
    </row>
    <row r="201" spans="1:11">
      <c r="A201" s="61"/>
      <c r="B201" s="839"/>
      <c r="C201" s="49" t="s">
        <v>48</v>
      </c>
      <c r="D201" s="48" t="s">
        <v>157</v>
      </c>
      <c r="E201" s="752">
        <f t="shared" si="19"/>
        <v>244.61631308378918</v>
      </c>
      <c r="F201" s="752">
        <f>NT!L48/2</f>
        <v>244.61631308378918</v>
      </c>
      <c r="G201" s="150"/>
      <c r="H201" s="119" t="s">
        <v>384</v>
      </c>
      <c r="I201" s="19" t="s">
        <v>106</v>
      </c>
      <c r="J201" s="80">
        <f>E193</f>
        <v>0</v>
      </c>
      <c r="K201" s="80">
        <f>F193</f>
        <v>0</v>
      </c>
    </row>
    <row r="202" spans="1:11">
      <c r="A202" s="66"/>
      <c r="B202" s="840"/>
      <c r="C202" s="49" t="s">
        <v>49</v>
      </c>
      <c r="D202" s="48" t="s">
        <v>158</v>
      </c>
      <c r="E202" s="752">
        <f t="shared" si="19"/>
        <v>9.4267007435337309</v>
      </c>
      <c r="F202" s="752">
        <f>NT!L49/2</f>
        <v>9.4267007435337309</v>
      </c>
      <c r="G202" s="150"/>
      <c r="H202" s="119" t="s">
        <v>385</v>
      </c>
      <c r="I202" s="19" t="s">
        <v>108</v>
      </c>
      <c r="J202" s="80">
        <f>E195</f>
        <v>1.0633414019955667</v>
      </c>
      <c r="K202" s="80">
        <f>F195</f>
        <v>1.0633414019955667</v>
      </c>
    </row>
    <row r="203" spans="1:11">
      <c r="A203" s="60" t="s">
        <v>50</v>
      </c>
      <c r="B203" s="838" t="s">
        <v>159</v>
      </c>
      <c r="C203" s="49" t="s">
        <v>51</v>
      </c>
      <c r="D203" s="48" t="s">
        <v>113</v>
      </c>
      <c r="E203" s="163">
        <f>'Gap data 1'!$F51*'Gap data 2'!D$6/1000000</f>
        <v>1966.215421865149</v>
      </c>
      <c r="F203" s="163">
        <f>'Gap data 1'!$F51*'Gap data 2'!D$7/1000000</f>
        <v>1988.6378032528739</v>
      </c>
      <c r="G203" s="150"/>
      <c r="H203" s="119" t="s">
        <v>386</v>
      </c>
      <c r="I203" s="19" t="s">
        <v>107</v>
      </c>
      <c r="J203" s="80">
        <f>E194</f>
        <v>8.2797257481227842</v>
      </c>
      <c r="K203" s="80">
        <f>F194</f>
        <v>8.2797257481227842</v>
      </c>
    </row>
    <row r="204" spans="1:11">
      <c r="A204" s="61"/>
      <c r="B204" s="839"/>
      <c r="C204" s="49" t="s">
        <v>115</v>
      </c>
      <c r="D204" s="48" t="s">
        <v>114</v>
      </c>
      <c r="E204" s="163">
        <f>'Gap data 1'!$F52*'Gap data 2'!D$6/1000000</f>
        <v>3201.9838771433479</v>
      </c>
      <c r="F204" s="163">
        <f>'Gap data 1'!$F52*'Gap data 2'!D$7/1000000</f>
        <v>3238.4987487552021</v>
      </c>
      <c r="G204" s="150"/>
      <c r="H204" s="119" t="s">
        <v>387</v>
      </c>
      <c r="I204" s="19" t="s">
        <v>388</v>
      </c>
      <c r="J204" s="80">
        <f t="shared" ref="J204:J205" si="26">E210</f>
        <v>0</v>
      </c>
      <c r="K204" s="80">
        <f t="shared" ref="K204:K205" si="27">F210</f>
        <v>0</v>
      </c>
    </row>
    <row r="205" spans="1:11">
      <c r="A205" s="61"/>
      <c r="B205" s="839"/>
      <c r="C205" s="49" t="s">
        <v>52</v>
      </c>
      <c r="D205" s="48" t="s">
        <v>116</v>
      </c>
      <c r="E205" s="752">
        <f t="shared" ref="E205:E217" si="28">F205</f>
        <v>0</v>
      </c>
      <c r="F205" s="752">
        <f>NT!L52/2</f>
        <v>0</v>
      </c>
      <c r="G205" s="150"/>
      <c r="H205" s="119" t="s">
        <v>389</v>
      </c>
      <c r="I205" s="19" t="s">
        <v>390</v>
      </c>
      <c r="J205" s="80">
        <f t="shared" si="26"/>
        <v>0</v>
      </c>
      <c r="K205" s="80">
        <f t="shared" si="27"/>
        <v>0</v>
      </c>
    </row>
    <row r="206" spans="1:11">
      <c r="A206" s="66"/>
      <c r="B206" s="840"/>
      <c r="C206" s="49" t="s">
        <v>118</v>
      </c>
      <c r="D206" s="48" t="s">
        <v>117</v>
      </c>
      <c r="E206" s="752">
        <f t="shared" si="28"/>
        <v>0</v>
      </c>
      <c r="F206" s="752">
        <f>NT!L53/2</f>
        <v>0</v>
      </c>
      <c r="G206" s="150"/>
      <c r="H206" s="119" t="s">
        <v>391</v>
      </c>
      <c r="I206" s="19" t="s">
        <v>392</v>
      </c>
      <c r="J206" s="80">
        <f>E209</f>
        <v>0</v>
      </c>
      <c r="K206" s="80">
        <f>F209</f>
        <v>0</v>
      </c>
    </row>
    <row r="207" spans="1:11" ht="25.5">
      <c r="A207" s="60" t="s">
        <v>53</v>
      </c>
      <c r="B207" s="838" t="s">
        <v>54</v>
      </c>
      <c r="C207" s="49" t="s">
        <v>55</v>
      </c>
      <c r="D207" s="48" t="s">
        <v>160</v>
      </c>
      <c r="E207" s="752">
        <f t="shared" si="28"/>
        <v>84.230976225491531</v>
      </c>
      <c r="F207" s="752">
        <f>NT!L54/2</f>
        <v>84.230976225491531</v>
      </c>
      <c r="G207" s="150"/>
      <c r="H207" s="62"/>
      <c r="I207" s="63" t="s">
        <v>405</v>
      </c>
      <c r="J207" s="64"/>
      <c r="K207" s="65"/>
    </row>
    <row r="208" spans="1:11">
      <c r="A208" s="61"/>
      <c r="B208" s="839"/>
      <c r="C208" s="49" t="s">
        <v>56</v>
      </c>
      <c r="D208" s="48" t="s">
        <v>161</v>
      </c>
      <c r="E208" s="752">
        <f t="shared" si="28"/>
        <v>0</v>
      </c>
      <c r="F208" s="752">
        <f>NT!L55/2</f>
        <v>0</v>
      </c>
      <c r="G208" s="150"/>
      <c r="H208" s="119" t="s">
        <v>393</v>
      </c>
      <c r="I208" s="19" t="s">
        <v>394</v>
      </c>
      <c r="J208" s="163">
        <f>'Gap data 2'!$B$17*'Gap data 2'!D6</f>
        <v>69366.420947690058</v>
      </c>
      <c r="K208" s="163">
        <f>'Gap data 2'!$B$17*'Gap data 2'!D7</f>
        <v>70157.463642551622</v>
      </c>
    </row>
    <row r="209" spans="1:11">
      <c r="A209" s="61"/>
      <c r="B209" s="839"/>
      <c r="C209" s="49" t="s">
        <v>57</v>
      </c>
      <c r="D209" s="48" t="s">
        <v>162</v>
      </c>
      <c r="E209" s="752">
        <f t="shared" si="28"/>
        <v>0</v>
      </c>
      <c r="F209" s="752">
        <f>NT!L56/2</f>
        <v>0</v>
      </c>
      <c r="G209" s="150"/>
      <c r="H209" s="119" t="s">
        <v>395</v>
      </c>
      <c r="I209" s="19" t="s">
        <v>396</v>
      </c>
      <c r="J209" s="221">
        <v>0</v>
      </c>
      <c r="K209" s="221">
        <v>0</v>
      </c>
    </row>
    <row r="210" spans="1:11">
      <c r="A210" s="61"/>
      <c r="B210" s="839"/>
      <c r="C210" s="49" t="s">
        <v>120</v>
      </c>
      <c r="D210" s="48" t="s">
        <v>119</v>
      </c>
      <c r="E210" s="752">
        <f t="shared" si="28"/>
        <v>0</v>
      </c>
      <c r="F210" s="752">
        <f>NT!L57/2</f>
        <v>0</v>
      </c>
      <c r="G210" s="150"/>
      <c r="H210" s="72"/>
      <c r="I210" s="73" t="s">
        <v>408</v>
      </c>
      <c r="J210" s="74"/>
      <c r="K210" s="75"/>
    </row>
    <row r="211" spans="1:11">
      <c r="A211" s="61"/>
      <c r="B211" s="839"/>
      <c r="C211" s="49" t="s">
        <v>122</v>
      </c>
      <c r="D211" s="48" t="s">
        <v>121</v>
      </c>
      <c r="E211" s="752">
        <f t="shared" si="28"/>
        <v>0</v>
      </c>
      <c r="F211" s="752">
        <f>NT!L58/2</f>
        <v>0</v>
      </c>
      <c r="G211" s="150"/>
      <c r="H211" s="58">
        <v>1</v>
      </c>
      <c r="I211" s="76" t="s">
        <v>397</v>
      </c>
      <c r="J211" s="80">
        <f>SUM(E176:E177,E182:E183)</f>
        <v>0</v>
      </c>
      <c r="K211" s="80">
        <f>SUM(F176:F177,F182:F183)</f>
        <v>0</v>
      </c>
    </row>
    <row r="212" spans="1:11">
      <c r="A212" s="61"/>
      <c r="B212" s="839"/>
      <c r="C212" s="49" t="s">
        <v>124</v>
      </c>
      <c r="D212" s="48" t="s">
        <v>123</v>
      </c>
      <c r="E212" s="752">
        <f t="shared" si="28"/>
        <v>0</v>
      </c>
      <c r="F212" s="752">
        <f>NT!L59/2</f>
        <v>0</v>
      </c>
      <c r="G212" s="150"/>
      <c r="H212" s="58">
        <v>2</v>
      </c>
      <c r="I212" s="76" t="s">
        <v>398</v>
      </c>
      <c r="J212" s="80">
        <f>SUM(E184:E186,E189)</f>
        <v>0</v>
      </c>
      <c r="K212" s="80">
        <f>SUM(F184:F186,F189)</f>
        <v>0</v>
      </c>
    </row>
    <row r="213" spans="1:11">
      <c r="A213" s="61"/>
      <c r="B213" s="839"/>
      <c r="C213" s="49" t="s">
        <v>58</v>
      </c>
      <c r="D213" s="48" t="s">
        <v>136</v>
      </c>
      <c r="E213" s="752">
        <f t="shared" si="28"/>
        <v>0</v>
      </c>
      <c r="F213" s="752">
        <f>NT!L60/2</f>
        <v>0</v>
      </c>
      <c r="G213" s="150"/>
      <c r="H213" s="58">
        <v>3</v>
      </c>
      <c r="I213" s="76" t="s">
        <v>323</v>
      </c>
      <c r="J213" s="80">
        <f>SUM(E213:E216)</f>
        <v>13.847333538346764</v>
      </c>
      <c r="K213" s="80">
        <f>SUM(F213:F216)</f>
        <v>13.847333538346764</v>
      </c>
    </row>
    <row r="214" spans="1:11">
      <c r="A214" s="61"/>
      <c r="B214" s="839"/>
      <c r="C214" s="49" t="s">
        <v>59</v>
      </c>
      <c r="D214" s="48" t="s">
        <v>125</v>
      </c>
      <c r="E214" s="752">
        <f t="shared" si="28"/>
        <v>0</v>
      </c>
      <c r="F214" s="752">
        <f>NT!L61/2</f>
        <v>0</v>
      </c>
      <c r="G214" s="150"/>
      <c r="H214" s="58">
        <v>4</v>
      </c>
      <c r="I214" s="76" t="s">
        <v>159</v>
      </c>
      <c r="J214" s="80">
        <f t="shared" ref="J214" si="29">SUM(E203:E206)</f>
        <v>5168.1992990084964</v>
      </c>
      <c r="K214" s="80">
        <f t="shared" ref="K214" si="30">SUM(F203:F206)</f>
        <v>5227.1365520080763</v>
      </c>
    </row>
    <row r="215" spans="1:11" ht="25.5">
      <c r="A215" s="61"/>
      <c r="B215" s="839"/>
      <c r="C215" s="49" t="s">
        <v>60</v>
      </c>
      <c r="D215" s="48" t="s">
        <v>163</v>
      </c>
      <c r="E215" s="752">
        <f t="shared" si="28"/>
        <v>13.847333538346764</v>
      </c>
      <c r="F215" s="752">
        <f>NT!L62/2</f>
        <v>13.847333538346764</v>
      </c>
      <c r="G215" s="150"/>
      <c r="H215" s="58">
        <v>5</v>
      </c>
      <c r="I215" s="48" t="s">
        <v>399</v>
      </c>
      <c r="J215" s="80">
        <f>E217</f>
        <v>34.719888923585586</v>
      </c>
      <c r="K215" s="80">
        <f>F217</f>
        <v>34.719888923585586</v>
      </c>
    </row>
    <row r="216" spans="1:11">
      <c r="A216" s="66"/>
      <c r="B216" s="840"/>
      <c r="C216" s="49" t="s">
        <v>61</v>
      </c>
      <c r="D216" s="48" t="s">
        <v>126</v>
      </c>
      <c r="E216" s="752">
        <f t="shared" si="28"/>
        <v>0</v>
      </c>
      <c r="F216" s="752">
        <f>NT!L63/2</f>
        <v>0</v>
      </c>
      <c r="G216" s="150"/>
      <c r="H216" s="58">
        <v>6</v>
      </c>
      <c r="I216" s="248" t="s">
        <v>468</v>
      </c>
      <c r="J216" s="425">
        <f t="shared" ref="J216" si="31">E218</f>
        <v>6354.5889250697246</v>
      </c>
      <c r="K216" s="425">
        <f t="shared" ref="K216" si="32">F218</f>
        <v>6427.0555606456801</v>
      </c>
    </row>
    <row r="217" spans="1:11">
      <c r="A217" s="60" t="s">
        <v>62</v>
      </c>
      <c r="B217" s="838" t="s">
        <v>164</v>
      </c>
      <c r="C217" s="49" t="s">
        <v>63</v>
      </c>
      <c r="D217" s="48" t="s">
        <v>165</v>
      </c>
      <c r="E217" s="752">
        <f t="shared" si="28"/>
        <v>34.719888923585586</v>
      </c>
      <c r="F217" s="752">
        <f>NT!L64/2</f>
        <v>34.719888923585586</v>
      </c>
      <c r="H217" s="58">
        <v>7</v>
      </c>
      <c r="I217" s="248" t="s">
        <v>469</v>
      </c>
      <c r="J217" s="425">
        <f>SUM(E219,E222)</f>
        <v>0</v>
      </c>
      <c r="K217" s="425">
        <f>SUM(F219,F222)</f>
        <v>0</v>
      </c>
    </row>
    <row r="218" spans="1:11">
      <c r="A218" s="61"/>
      <c r="B218" s="839"/>
      <c r="C218" s="49" t="s">
        <v>64</v>
      </c>
      <c r="D218" s="48" t="s">
        <v>127</v>
      </c>
      <c r="E218" s="163">
        <f>'Gap data 1'!$F66*'Gap data 2'!D$6/1000000</f>
        <v>6354.5889250697246</v>
      </c>
      <c r="F218" s="163">
        <f>'Gap data 1'!$F66*'Gap data 2'!D$7/1000000</f>
        <v>6427.0555606456801</v>
      </c>
      <c r="G218" s="214" t="str">
        <f>G198</f>
        <v>NT</v>
      </c>
      <c r="H218" s="58">
        <v>8</v>
      </c>
      <c r="I218" s="76" t="s">
        <v>133</v>
      </c>
      <c r="J218" s="80">
        <f>E231</f>
        <v>2818.0522397405111</v>
      </c>
      <c r="K218" s="80">
        <f>F231</f>
        <v>2818.0522397405111</v>
      </c>
    </row>
    <row r="219" spans="1:11">
      <c r="A219" s="61"/>
      <c r="B219" s="839"/>
      <c r="C219" s="49" t="s">
        <v>65</v>
      </c>
      <c r="D219" s="48" t="s">
        <v>166</v>
      </c>
      <c r="E219" s="752">
        <f t="shared" ref="E219:E222" si="33">F219</f>
        <v>0</v>
      </c>
      <c r="F219" s="752">
        <f>NT!L66/2</f>
        <v>0</v>
      </c>
      <c r="G219" s="151"/>
      <c r="H219" s="77"/>
    </row>
    <row r="220" spans="1:11">
      <c r="A220" s="61"/>
      <c r="B220" s="839"/>
      <c r="C220" s="49" t="s">
        <v>66</v>
      </c>
      <c r="D220" s="48" t="s">
        <v>173</v>
      </c>
      <c r="E220" s="752">
        <f t="shared" si="33"/>
        <v>0</v>
      </c>
      <c r="F220" s="752">
        <f>NT!L67/2</f>
        <v>0</v>
      </c>
      <c r="G220" s="151"/>
      <c r="H220" s="77"/>
    </row>
    <row r="221" spans="1:11">
      <c r="A221" s="61"/>
      <c r="B221" s="839"/>
      <c r="C221" s="49" t="s">
        <v>67</v>
      </c>
      <c r="D221" s="48" t="s">
        <v>174</v>
      </c>
      <c r="E221" s="752">
        <f t="shared" si="33"/>
        <v>0</v>
      </c>
      <c r="F221" s="752">
        <f>NT!L68/2</f>
        <v>0</v>
      </c>
      <c r="G221" s="151"/>
      <c r="H221" s="77"/>
    </row>
    <row r="222" spans="1:11">
      <c r="A222" s="61"/>
      <c r="B222" s="839"/>
      <c r="C222" s="49" t="s">
        <v>68</v>
      </c>
      <c r="D222" s="48" t="s">
        <v>175</v>
      </c>
      <c r="E222" s="752">
        <f t="shared" si="33"/>
        <v>0</v>
      </c>
      <c r="F222" s="752">
        <f>NT!L69/2</f>
        <v>0</v>
      </c>
      <c r="G222" s="151"/>
      <c r="H222" s="77"/>
    </row>
    <row r="223" spans="1:11">
      <c r="A223" s="61"/>
      <c r="B223" s="839"/>
      <c r="C223" s="49" t="s">
        <v>128</v>
      </c>
      <c r="D223" s="48" t="s">
        <v>167</v>
      </c>
      <c r="E223" s="114">
        <f>IF(ISNUMBER(NT!K70),NT!K70,0)+'Gap data 2'!$D$32</f>
        <v>2550.5593087171869</v>
      </c>
      <c r="F223" s="114">
        <f>IF(ISNUMBER(NT!L70),NT!L70,0)+'Gap data 2'!$D$32</f>
        <v>2550.5593087171869</v>
      </c>
      <c r="G223" s="151"/>
      <c r="H223" s="77"/>
    </row>
    <row r="224" spans="1:11">
      <c r="A224" s="61"/>
      <c r="B224" s="839"/>
      <c r="C224" s="49" t="s">
        <v>69</v>
      </c>
      <c r="D224" s="48" t="s">
        <v>129</v>
      </c>
      <c r="E224" s="114">
        <f>'Gap data 1'!$F$72*'Gap data 2'!D6/1000000</f>
        <v>2472.6267016157117</v>
      </c>
      <c r="F224" s="114">
        <f>'Gap data 1'!$F$72*'Gap data 2'!D7/1000000</f>
        <v>2500.8241098531603</v>
      </c>
      <c r="G224" s="151"/>
      <c r="H224" s="77"/>
    </row>
    <row r="225" spans="1:11">
      <c r="A225" s="66"/>
      <c r="B225" s="840"/>
      <c r="C225" s="49" t="s">
        <v>70</v>
      </c>
      <c r="D225" s="48" t="s">
        <v>168</v>
      </c>
      <c r="E225" s="752">
        <f t="shared" ref="E225:E230" si="34">F225</f>
        <v>0</v>
      </c>
      <c r="F225" s="752">
        <f>NT!L72/2</f>
        <v>0</v>
      </c>
      <c r="G225" s="151"/>
      <c r="H225" s="77"/>
    </row>
    <row r="226" spans="1:11">
      <c r="A226" s="60" t="s">
        <v>71</v>
      </c>
      <c r="B226" s="838" t="s">
        <v>169</v>
      </c>
      <c r="C226" s="49" t="s">
        <v>72</v>
      </c>
      <c r="D226" s="48" t="s">
        <v>170</v>
      </c>
      <c r="E226" s="752">
        <f t="shared" si="34"/>
        <v>148.71247674875079</v>
      </c>
      <c r="F226" s="752">
        <f>NT!L73/2</f>
        <v>148.71247674875079</v>
      </c>
      <c r="G226" s="151"/>
      <c r="H226" s="77"/>
    </row>
    <row r="227" spans="1:11">
      <c r="A227" s="61"/>
      <c r="B227" s="839"/>
      <c r="C227" s="49" t="s">
        <v>73</v>
      </c>
      <c r="D227" s="48" t="s">
        <v>130</v>
      </c>
      <c r="E227" s="752">
        <f t="shared" si="34"/>
        <v>0</v>
      </c>
      <c r="F227" s="752">
        <f>NT!L74/2</f>
        <v>0</v>
      </c>
      <c r="G227" s="151"/>
      <c r="H227" s="77"/>
    </row>
    <row r="228" spans="1:11">
      <c r="A228" s="66"/>
      <c r="B228" s="840"/>
      <c r="C228" s="49" t="s">
        <v>74</v>
      </c>
      <c r="D228" s="48" t="s">
        <v>131</v>
      </c>
      <c r="E228" s="752">
        <f t="shared" si="34"/>
        <v>0</v>
      </c>
      <c r="F228" s="752">
        <f>NT!L75/2</f>
        <v>0</v>
      </c>
      <c r="G228" s="151"/>
      <c r="H228" s="77"/>
    </row>
    <row r="229" spans="1:11" ht="38.25">
      <c r="A229" s="60" t="s">
        <v>75</v>
      </c>
      <c r="B229" s="838" t="s">
        <v>76</v>
      </c>
      <c r="C229" s="49" t="s">
        <v>77</v>
      </c>
      <c r="D229" s="48" t="s">
        <v>171</v>
      </c>
      <c r="E229" s="752">
        <f t="shared" si="34"/>
        <v>148.43768065610024</v>
      </c>
      <c r="F229" s="752">
        <f>NT!L76/2</f>
        <v>148.43768065610024</v>
      </c>
      <c r="G229" s="151"/>
      <c r="H229" s="77"/>
    </row>
    <row r="230" spans="1:11">
      <c r="A230" s="61"/>
      <c r="B230" s="839"/>
      <c r="C230" s="49" t="s">
        <v>78</v>
      </c>
      <c r="D230" s="48" t="s">
        <v>132</v>
      </c>
      <c r="E230" s="752">
        <f t="shared" si="34"/>
        <v>0</v>
      </c>
      <c r="F230" s="752">
        <f>NT!L77/2</f>
        <v>0</v>
      </c>
      <c r="G230" s="151"/>
      <c r="H230" s="77"/>
    </row>
    <row r="231" spans="1:11">
      <c r="A231" s="61"/>
      <c r="B231" s="839"/>
      <c r="C231" s="49" t="s">
        <v>134</v>
      </c>
      <c r="D231" s="48" t="s">
        <v>133</v>
      </c>
      <c r="E231" s="163">
        <f>'Gap data 2'!$D$29</f>
        <v>2818.0522397405111</v>
      </c>
      <c r="F231" s="163">
        <f>'Gap data 2'!$D$29</f>
        <v>2818.0522397405111</v>
      </c>
      <c r="G231" s="151"/>
      <c r="H231" s="77"/>
    </row>
    <row r="232" spans="1:11">
      <c r="A232" s="66"/>
      <c r="B232" s="840"/>
      <c r="C232" s="49" t="s">
        <v>172</v>
      </c>
      <c r="D232" s="48" t="s">
        <v>135</v>
      </c>
      <c r="E232" s="752">
        <f t="shared" ref="E232" si="35">F232</f>
        <v>0</v>
      </c>
      <c r="F232" s="752">
        <f>NT!L79/2</f>
        <v>0</v>
      </c>
      <c r="G232" s="151"/>
      <c r="H232" s="77"/>
    </row>
    <row r="233" spans="1:11">
      <c r="G233" s="127"/>
      <c r="H233" s="77"/>
    </row>
    <row r="234" spans="1:11" s="213" customFormat="1" ht="15.75">
      <c r="A234" s="213" t="s">
        <v>635</v>
      </c>
      <c r="G234" s="212"/>
      <c r="H234" s="213" t="str">
        <f>A234</f>
        <v>Adjusted Qld data</v>
      </c>
    </row>
    <row r="236" spans="1:11">
      <c r="A236" s="105" t="s">
        <v>3</v>
      </c>
      <c r="B236" s="814" t="s">
        <v>137</v>
      </c>
      <c r="C236" s="49" t="s">
        <v>4</v>
      </c>
      <c r="D236" s="76" t="s">
        <v>79</v>
      </c>
      <c r="E236" s="762">
        <f>F236</f>
        <v>2233</v>
      </c>
      <c r="F236" s="762">
        <f>Qld!L8/2</f>
        <v>2233</v>
      </c>
      <c r="G236" s="150"/>
      <c r="H236" s="119" t="s">
        <v>324</v>
      </c>
      <c r="I236" s="18" t="s">
        <v>325</v>
      </c>
      <c r="J236" s="122">
        <f t="shared" ref="J236:K236" si="36">E301</f>
        <v>12315</v>
      </c>
      <c r="K236" s="122">
        <f t="shared" si="36"/>
        <v>12315</v>
      </c>
    </row>
    <row r="237" spans="1:11">
      <c r="A237" s="106"/>
      <c r="B237" s="942"/>
      <c r="C237" s="49" t="s">
        <v>138</v>
      </c>
      <c r="D237" s="76" t="s">
        <v>139</v>
      </c>
      <c r="E237" s="762">
        <f t="shared" ref="E237:E299" si="37">F237</f>
        <v>6.5</v>
      </c>
      <c r="F237" s="762">
        <f>Qld!L9/2</f>
        <v>6.5</v>
      </c>
      <c r="G237" s="150"/>
      <c r="H237" s="119" t="s">
        <v>326</v>
      </c>
      <c r="I237" s="18" t="s">
        <v>327</v>
      </c>
      <c r="J237" s="122">
        <f t="shared" ref="J237:K237" si="38">E303</f>
        <v>38</v>
      </c>
      <c r="K237" s="122">
        <f t="shared" si="38"/>
        <v>38</v>
      </c>
    </row>
    <row r="238" spans="1:11">
      <c r="A238" s="107"/>
      <c r="B238" s="815"/>
      <c r="C238" s="49" t="s">
        <v>81</v>
      </c>
      <c r="D238" s="76" t="s">
        <v>80</v>
      </c>
      <c r="E238" s="762">
        <f t="shared" si="37"/>
        <v>7.5</v>
      </c>
      <c r="F238" s="762">
        <f>Qld!L10/2</f>
        <v>7.5</v>
      </c>
      <c r="G238" s="150"/>
      <c r="H238" s="119" t="s">
        <v>328</v>
      </c>
      <c r="I238" s="18" t="s">
        <v>130</v>
      </c>
      <c r="J238" s="122">
        <f t="shared" ref="J238:K238" si="39">E302</f>
        <v>891</v>
      </c>
      <c r="K238" s="122">
        <f t="shared" si="39"/>
        <v>891</v>
      </c>
    </row>
    <row r="239" spans="1:11">
      <c r="A239" s="58" t="s">
        <v>5</v>
      </c>
      <c r="B239" s="48" t="s">
        <v>6</v>
      </c>
      <c r="C239" s="49" t="s">
        <v>7</v>
      </c>
      <c r="D239" s="76" t="s">
        <v>82</v>
      </c>
      <c r="E239" s="762">
        <f t="shared" si="37"/>
        <v>7046</v>
      </c>
      <c r="F239" s="762">
        <f>Qld!L11/2</f>
        <v>7046</v>
      </c>
      <c r="G239" s="150"/>
      <c r="H239" s="119" t="s">
        <v>329</v>
      </c>
      <c r="I239" s="18" t="s">
        <v>330</v>
      </c>
      <c r="J239" s="123">
        <f t="shared" ref="J239:K239" si="40">E272</f>
        <v>783.5</v>
      </c>
      <c r="K239" s="123">
        <f t="shared" si="40"/>
        <v>783.5</v>
      </c>
    </row>
    <row r="240" spans="1:11">
      <c r="A240" s="58" t="s">
        <v>8</v>
      </c>
      <c r="B240" s="48" t="s">
        <v>140</v>
      </c>
      <c r="C240" s="49" t="s">
        <v>9</v>
      </c>
      <c r="D240" s="76" t="s">
        <v>83</v>
      </c>
      <c r="E240" s="762">
        <f t="shared" si="37"/>
        <v>111794.5</v>
      </c>
      <c r="F240" s="762">
        <f>Qld!L12/2</f>
        <v>111794.5</v>
      </c>
      <c r="G240" s="150"/>
      <c r="H240" s="119" t="s">
        <v>331</v>
      </c>
      <c r="I240" s="18" t="s">
        <v>332</v>
      </c>
      <c r="J240" s="123">
        <f t="shared" ref="J240:K240" si="41">E274</f>
        <v>103</v>
      </c>
      <c r="K240" s="123">
        <f t="shared" si="41"/>
        <v>103</v>
      </c>
    </row>
    <row r="241" spans="1:11">
      <c r="A241" s="251" t="s">
        <v>10</v>
      </c>
      <c r="B241" s="814" t="s">
        <v>11</v>
      </c>
      <c r="C241" s="49" t="s">
        <v>12</v>
      </c>
      <c r="D241" s="76" t="s">
        <v>84</v>
      </c>
      <c r="E241" s="762">
        <f t="shared" si="37"/>
        <v>121.5</v>
      </c>
      <c r="F241" s="762">
        <f>Qld!L13/2</f>
        <v>121.5</v>
      </c>
      <c r="G241" s="150"/>
      <c r="H241" s="119" t="s">
        <v>333</v>
      </c>
      <c r="I241" s="18" t="s">
        <v>334</v>
      </c>
      <c r="J241" s="123">
        <f t="shared" ref="J241:K241" si="42">E271</f>
        <v>5597.5</v>
      </c>
      <c r="K241" s="123">
        <f t="shared" si="42"/>
        <v>5597.5</v>
      </c>
    </row>
    <row r="242" spans="1:11">
      <c r="A242" s="252"/>
      <c r="B242" s="942"/>
      <c r="C242" s="49" t="s">
        <v>13</v>
      </c>
      <c r="D242" s="76" t="s">
        <v>85</v>
      </c>
      <c r="E242" s="762">
        <f t="shared" si="37"/>
        <v>494</v>
      </c>
      <c r="F242" s="762">
        <f>Qld!L14/2</f>
        <v>494</v>
      </c>
      <c r="G242" s="150"/>
      <c r="H242" s="119" t="s">
        <v>335</v>
      </c>
      <c r="I242" s="18" t="s">
        <v>336</v>
      </c>
      <c r="J242" s="123">
        <f t="shared" ref="J242:K242" si="43">E237</f>
        <v>6.5</v>
      </c>
      <c r="K242" s="123">
        <f t="shared" si="43"/>
        <v>6.5</v>
      </c>
    </row>
    <row r="243" spans="1:11">
      <c r="A243" s="252"/>
      <c r="B243" s="942"/>
      <c r="C243" s="49" t="s">
        <v>14</v>
      </c>
      <c r="D243" s="76" t="s">
        <v>86</v>
      </c>
      <c r="E243" s="762">
        <f t="shared" si="37"/>
        <v>162</v>
      </c>
      <c r="F243" s="762">
        <f>Qld!L15/2</f>
        <v>162</v>
      </c>
      <c r="G243" s="150"/>
      <c r="H243" s="119" t="s">
        <v>337</v>
      </c>
      <c r="I243" s="18" t="s">
        <v>322</v>
      </c>
      <c r="J243" s="123">
        <f t="shared" ref="J243:K244" si="44">E275</f>
        <v>36252</v>
      </c>
      <c r="K243" s="123">
        <f t="shared" si="44"/>
        <v>36252</v>
      </c>
    </row>
    <row r="244" spans="1:11">
      <c r="A244" s="252"/>
      <c r="B244" s="942"/>
      <c r="C244" s="49" t="s">
        <v>15</v>
      </c>
      <c r="D244" s="76" t="s">
        <v>87</v>
      </c>
      <c r="E244" s="762">
        <f t="shared" si="37"/>
        <v>63</v>
      </c>
      <c r="F244" s="762">
        <f>Qld!L16/2</f>
        <v>63</v>
      </c>
      <c r="G244" s="150"/>
      <c r="H244" s="119" t="s">
        <v>338</v>
      </c>
      <c r="I244" s="18" t="s">
        <v>339</v>
      </c>
      <c r="J244" s="123">
        <f t="shared" si="44"/>
        <v>97539.5</v>
      </c>
      <c r="K244" s="123">
        <f t="shared" si="44"/>
        <v>97539.5</v>
      </c>
    </row>
    <row r="245" spans="1:11">
      <c r="A245" s="252"/>
      <c r="B245" s="942"/>
      <c r="C245" s="49" t="s">
        <v>16</v>
      </c>
      <c r="D245" s="76" t="s">
        <v>88</v>
      </c>
      <c r="E245" s="762">
        <f t="shared" si="37"/>
        <v>97.5</v>
      </c>
      <c r="F245" s="762">
        <f>Qld!L17/2</f>
        <v>97.5</v>
      </c>
      <c r="G245" s="150"/>
      <c r="H245" s="119" t="s">
        <v>340</v>
      </c>
      <c r="I245" s="18" t="s">
        <v>341</v>
      </c>
      <c r="J245" s="123">
        <f t="shared" ref="J245:K245" si="45">E282</f>
        <v>778</v>
      </c>
      <c r="K245" s="123">
        <f t="shared" si="45"/>
        <v>778</v>
      </c>
    </row>
    <row r="246" spans="1:11">
      <c r="A246" s="252"/>
      <c r="B246" s="942"/>
      <c r="C246" s="49" t="s">
        <v>17</v>
      </c>
      <c r="D246" s="76" t="s">
        <v>89</v>
      </c>
      <c r="E246" s="762">
        <f t="shared" si="37"/>
        <v>4</v>
      </c>
      <c r="F246" s="762">
        <f>Qld!L18/2</f>
        <v>4</v>
      </c>
      <c r="G246" s="150"/>
      <c r="H246" s="119" t="s">
        <v>342</v>
      </c>
      <c r="I246" s="18" t="s">
        <v>343</v>
      </c>
      <c r="J246" s="123">
        <f t="shared" ref="J246:K246" si="46">E277</f>
        <v>89</v>
      </c>
      <c r="K246" s="123">
        <f t="shared" si="46"/>
        <v>89</v>
      </c>
    </row>
    <row r="247" spans="1:11">
      <c r="A247" s="252"/>
      <c r="B247" s="942"/>
      <c r="C247" s="49" t="s">
        <v>18</v>
      </c>
      <c r="D247" s="76" t="s">
        <v>90</v>
      </c>
      <c r="E247" s="762">
        <f t="shared" si="37"/>
        <v>0.5</v>
      </c>
      <c r="F247" s="762">
        <f>Qld!L19/2</f>
        <v>0.5</v>
      </c>
      <c r="G247" s="150"/>
      <c r="H247" s="119" t="s">
        <v>344</v>
      </c>
      <c r="I247" s="18" t="s">
        <v>345</v>
      </c>
      <c r="J247" s="123">
        <f t="shared" ref="J247:K248" si="47">E266</f>
        <v>5577</v>
      </c>
      <c r="K247" s="123">
        <f t="shared" si="47"/>
        <v>5577</v>
      </c>
    </row>
    <row r="248" spans="1:11">
      <c r="A248" s="252"/>
      <c r="B248" s="942"/>
      <c r="C248" s="49" t="s">
        <v>19</v>
      </c>
      <c r="D248" s="76" t="s">
        <v>141</v>
      </c>
      <c r="E248" s="762">
        <f t="shared" si="37"/>
        <v>0</v>
      </c>
      <c r="F248" s="762">
        <f>Qld!L20/2</f>
        <v>0</v>
      </c>
      <c r="G248" s="150"/>
      <c r="H248" s="119" t="s">
        <v>346</v>
      </c>
      <c r="I248" s="18" t="s">
        <v>347</v>
      </c>
      <c r="J248" s="123">
        <f t="shared" si="47"/>
        <v>440.5</v>
      </c>
      <c r="K248" s="123">
        <f t="shared" si="47"/>
        <v>440.5</v>
      </c>
    </row>
    <row r="249" spans="1:11">
      <c r="A249" s="252"/>
      <c r="B249" s="942"/>
      <c r="C249" s="49" t="s">
        <v>142</v>
      </c>
      <c r="D249" s="76" t="s">
        <v>143</v>
      </c>
      <c r="E249" s="762">
        <f t="shared" si="37"/>
        <v>0</v>
      </c>
      <c r="F249" s="762">
        <f>Qld!L21/2</f>
        <v>0</v>
      </c>
      <c r="G249" s="150"/>
      <c r="H249" s="119" t="s">
        <v>348</v>
      </c>
      <c r="I249" s="18" t="s">
        <v>349</v>
      </c>
      <c r="J249" s="123">
        <f t="shared" ref="J249:K249" si="48">E304</f>
        <v>558.5</v>
      </c>
      <c r="K249" s="123">
        <f t="shared" si="48"/>
        <v>558.5</v>
      </c>
    </row>
    <row r="250" spans="1:11">
      <c r="A250" s="252"/>
      <c r="B250" s="942"/>
      <c r="C250" s="49" t="s">
        <v>20</v>
      </c>
      <c r="D250" s="76" t="s">
        <v>91</v>
      </c>
      <c r="E250" s="762">
        <f t="shared" si="37"/>
        <v>209.5</v>
      </c>
      <c r="F250" s="762">
        <f>Qld!L22/2</f>
        <v>209.5</v>
      </c>
      <c r="G250" s="150"/>
      <c r="H250" s="119" t="s">
        <v>350</v>
      </c>
      <c r="I250" s="18" t="s">
        <v>351</v>
      </c>
      <c r="J250" s="123">
        <f>IF(AND(E262="",E263="",E265="",E307=""),"",SUM(E262:E263,E265,E307))</f>
        <v>1164.5</v>
      </c>
      <c r="K250" s="123">
        <f>IF(AND(F262="",F263="",F265="",F307=""),"",SUM(F262:F263,F265,F307))</f>
        <v>1164.5</v>
      </c>
    </row>
    <row r="251" spans="1:11">
      <c r="A251" s="252"/>
      <c r="B251" s="942"/>
      <c r="C251" s="49" t="s">
        <v>21</v>
      </c>
      <c r="D251" s="76" t="s">
        <v>144</v>
      </c>
      <c r="E251" s="370"/>
      <c r="F251" s="370"/>
      <c r="G251" s="150"/>
      <c r="H251" s="119" t="s">
        <v>352</v>
      </c>
      <c r="I251" s="18" t="s">
        <v>353</v>
      </c>
      <c r="J251" s="123">
        <f t="shared" ref="J251:K251" si="49">E305</f>
        <v>79.5</v>
      </c>
      <c r="K251" s="123">
        <f t="shared" si="49"/>
        <v>79.5</v>
      </c>
    </row>
    <row r="252" spans="1:11">
      <c r="A252" s="252"/>
      <c r="B252" s="942"/>
      <c r="C252" s="49" t="s">
        <v>22</v>
      </c>
      <c r="D252" s="76" t="s">
        <v>92</v>
      </c>
      <c r="E252" s="762">
        <f t="shared" si="37"/>
        <v>64</v>
      </c>
      <c r="F252" s="762">
        <f>Qld!L24/2</f>
        <v>64</v>
      </c>
      <c r="G252" s="150"/>
      <c r="H252" s="119" t="s">
        <v>354</v>
      </c>
      <c r="I252" s="18" t="s">
        <v>355</v>
      </c>
      <c r="J252" s="123">
        <f t="shared" ref="J252:K252" si="50">E236</f>
        <v>2233</v>
      </c>
      <c r="K252" s="123">
        <f t="shared" si="50"/>
        <v>2233</v>
      </c>
    </row>
    <row r="253" spans="1:11">
      <c r="A253" s="252"/>
      <c r="B253" s="942"/>
      <c r="C253" s="49" t="s">
        <v>23</v>
      </c>
      <c r="D253" s="76" t="s">
        <v>93</v>
      </c>
      <c r="E253" s="762">
        <f t="shared" si="37"/>
        <v>6802.5</v>
      </c>
      <c r="F253" s="762">
        <f>Qld!L25/2</f>
        <v>6802.5</v>
      </c>
      <c r="G253" s="150"/>
      <c r="H253" s="119" t="s">
        <v>356</v>
      </c>
      <c r="I253" s="18" t="s">
        <v>357</v>
      </c>
      <c r="J253" s="123">
        <f>IF(AND(E295="",E296="",E298="",E300=""),"",SUM(E295:E296,E298,E300))</f>
        <v>164123.1472305136</v>
      </c>
      <c r="K253" s="123">
        <f>IF(AND(F295="",F296="",F298="",F300=""),"",SUM(F295:F296,F298,F300))</f>
        <v>364577.14723051363</v>
      </c>
    </row>
    <row r="254" spans="1:11">
      <c r="A254" s="252"/>
      <c r="B254" s="942"/>
      <c r="C254" s="49" t="s">
        <v>24</v>
      </c>
      <c r="D254" s="76" t="s">
        <v>94</v>
      </c>
      <c r="E254" s="762">
        <f t="shared" si="37"/>
        <v>337.5</v>
      </c>
      <c r="F254" s="762">
        <f>Qld!L26/2</f>
        <v>337.5</v>
      </c>
      <c r="G254" s="214" t="s">
        <v>428</v>
      </c>
      <c r="H254" s="62"/>
      <c r="I254" s="63" t="s">
        <v>407</v>
      </c>
      <c r="J254" s="115"/>
      <c r="K254" s="116"/>
    </row>
    <row r="255" spans="1:11">
      <c r="A255" s="252"/>
      <c r="B255" s="942"/>
      <c r="C255" s="49" t="s">
        <v>25</v>
      </c>
      <c r="D255" s="76" t="s">
        <v>145</v>
      </c>
      <c r="E255" s="762">
        <f t="shared" si="37"/>
        <v>0.5</v>
      </c>
      <c r="F255" s="762">
        <f>Qld!L27/2</f>
        <v>0.5</v>
      </c>
      <c r="G255" s="150"/>
      <c r="H255" s="119" t="s">
        <v>358</v>
      </c>
      <c r="I255" s="19" t="s">
        <v>84</v>
      </c>
      <c r="J255" s="122">
        <f t="shared" ref="J255:K255" si="51">E241</f>
        <v>121.5</v>
      </c>
      <c r="K255" s="122">
        <f t="shared" si="51"/>
        <v>121.5</v>
      </c>
    </row>
    <row r="256" spans="1:11">
      <c r="A256" s="252"/>
      <c r="B256" s="942"/>
      <c r="C256" s="49" t="s">
        <v>146</v>
      </c>
      <c r="D256" s="76" t="s">
        <v>147</v>
      </c>
      <c r="E256" s="762">
        <f t="shared" si="37"/>
        <v>0</v>
      </c>
      <c r="F256" s="762">
        <f>Qld!L28/2</f>
        <v>0</v>
      </c>
      <c r="G256" s="150"/>
      <c r="H256" s="119" t="s">
        <v>359</v>
      </c>
      <c r="I256" s="19" t="s">
        <v>90</v>
      </c>
      <c r="J256" s="122">
        <f t="shared" ref="J256:K256" si="52">E247</f>
        <v>0.5</v>
      </c>
      <c r="K256" s="122">
        <f t="shared" si="52"/>
        <v>0.5</v>
      </c>
    </row>
    <row r="257" spans="1:11">
      <c r="A257" s="252"/>
      <c r="B257" s="942"/>
      <c r="C257" s="49" t="s">
        <v>148</v>
      </c>
      <c r="D257" s="76" t="s">
        <v>149</v>
      </c>
      <c r="E257" s="762">
        <f t="shared" si="37"/>
        <v>27.5</v>
      </c>
      <c r="F257" s="762">
        <f>Qld!L29/2</f>
        <v>27.5</v>
      </c>
      <c r="G257" s="150"/>
      <c r="H257" s="119" t="s">
        <v>360</v>
      </c>
      <c r="I257" s="19" t="s">
        <v>361</v>
      </c>
      <c r="J257" s="122">
        <f t="shared" ref="J257:K257" si="53">E245</f>
        <v>97.5</v>
      </c>
      <c r="K257" s="122">
        <f t="shared" si="53"/>
        <v>97.5</v>
      </c>
    </row>
    <row r="258" spans="1:11">
      <c r="A258" s="252"/>
      <c r="B258" s="942"/>
      <c r="C258" s="49" t="s">
        <v>26</v>
      </c>
      <c r="D258" s="76" t="s">
        <v>150</v>
      </c>
      <c r="E258" s="762">
        <f t="shared" si="37"/>
        <v>0</v>
      </c>
      <c r="F258" s="762">
        <f>Qld!L30/2</f>
        <v>0</v>
      </c>
      <c r="G258" s="150"/>
      <c r="H258" s="119" t="s">
        <v>362</v>
      </c>
      <c r="I258" s="19" t="s">
        <v>91</v>
      </c>
      <c r="J258" s="122">
        <f t="shared" ref="J258:K258" si="54">E250</f>
        <v>209.5</v>
      </c>
      <c r="K258" s="122">
        <f t="shared" si="54"/>
        <v>209.5</v>
      </c>
    </row>
    <row r="259" spans="1:11">
      <c r="A259" s="252"/>
      <c r="B259" s="942"/>
      <c r="C259" s="49" t="s">
        <v>27</v>
      </c>
      <c r="D259" s="76" t="s">
        <v>95</v>
      </c>
      <c r="E259" s="762">
        <f t="shared" si="37"/>
        <v>27325</v>
      </c>
      <c r="F259" s="762">
        <f>Qld!L31/2</f>
        <v>27325</v>
      </c>
      <c r="G259" s="150"/>
      <c r="H259" s="119" t="s">
        <v>363</v>
      </c>
      <c r="I259" s="19" t="s">
        <v>94</v>
      </c>
      <c r="J259" s="122">
        <f t="shared" ref="J259:K259" si="55">E254</f>
        <v>337.5</v>
      </c>
      <c r="K259" s="122">
        <f t="shared" si="55"/>
        <v>337.5</v>
      </c>
    </row>
    <row r="260" spans="1:11">
      <c r="A260" s="252"/>
      <c r="B260" s="942"/>
      <c r="C260" s="49" t="s">
        <v>28</v>
      </c>
      <c r="D260" s="76" t="s">
        <v>96</v>
      </c>
      <c r="E260" s="762">
        <f t="shared" si="37"/>
        <v>0.5</v>
      </c>
      <c r="F260" s="762">
        <f>Qld!L32/2</f>
        <v>0.5</v>
      </c>
      <c r="G260" s="150"/>
      <c r="H260" s="119" t="s">
        <v>364</v>
      </c>
      <c r="I260" s="19" t="s">
        <v>87</v>
      </c>
      <c r="J260" s="122">
        <f t="shared" ref="J260:K260" si="56">E244</f>
        <v>63</v>
      </c>
      <c r="K260" s="122">
        <f t="shared" si="56"/>
        <v>63</v>
      </c>
    </row>
    <row r="261" spans="1:11">
      <c r="A261" s="252"/>
      <c r="B261" s="942"/>
      <c r="C261" s="49" t="s">
        <v>29</v>
      </c>
      <c r="D261" s="76" t="s">
        <v>97</v>
      </c>
      <c r="E261" s="762">
        <f t="shared" si="37"/>
        <v>397.5</v>
      </c>
      <c r="F261" s="762">
        <f>Qld!L33/2</f>
        <v>397.5</v>
      </c>
      <c r="G261" s="150"/>
      <c r="H261" s="119" t="s">
        <v>365</v>
      </c>
      <c r="I261" s="19" t="s">
        <v>145</v>
      </c>
      <c r="J261" s="122">
        <f t="shared" ref="J261:K261" si="57">E255</f>
        <v>0.5</v>
      </c>
      <c r="K261" s="122">
        <f t="shared" si="57"/>
        <v>0.5</v>
      </c>
    </row>
    <row r="262" spans="1:11">
      <c r="A262" s="252"/>
      <c r="B262" s="942"/>
      <c r="C262" s="49" t="s">
        <v>99</v>
      </c>
      <c r="D262" s="76" t="s">
        <v>98</v>
      </c>
      <c r="E262" s="762">
        <f t="shared" si="37"/>
        <v>0</v>
      </c>
      <c r="F262" s="762">
        <f>Qld!L34/2</f>
        <v>0</v>
      </c>
      <c r="G262" s="150"/>
      <c r="H262" s="119" t="s">
        <v>366</v>
      </c>
      <c r="I262" s="19" t="s">
        <v>89</v>
      </c>
      <c r="J262" s="122">
        <f t="shared" ref="J262:K262" si="58">E246</f>
        <v>4</v>
      </c>
      <c r="K262" s="122">
        <f t="shared" si="58"/>
        <v>4</v>
      </c>
    </row>
    <row r="263" spans="1:11">
      <c r="A263" s="252"/>
      <c r="B263" s="942"/>
      <c r="C263" s="49" t="s">
        <v>101</v>
      </c>
      <c r="D263" s="76" t="s">
        <v>100</v>
      </c>
      <c r="E263" s="762">
        <f t="shared" si="37"/>
        <v>0</v>
      </c>
      <c r="F263" s="762">
        <f>Qld!L35/2</f>
        <v>0</v>
      </c>
      <c r="G263" s="150"/>
      <c r="H263" s="119" t="s">
        <v>367</v>
      </c>
      <c r="I263" s="19" t="s">
        <v>141</v>
      </c>
      <c r="J263" s="122">
        <f t="shared" ref="J263:K263" si="59">E248</f>
        <v>0</v>
      </c>
      <c r="K263" s="122">
        <f t="shared" si="59"/>
        <v>0</v>
      </c>
    </row>
    <row r="264" spans="1:11">
      <c r="A264" s="253"/>
      <c r="B264" s="815"/>
      <c r="C264" s="49" t="s">
        <v>30</v>
      </c>
      <c r="D264" s="76" t="s">
        <v>151</v>
      </c>
      <c r="E264" s="762">
        <f t="shared" si="37"/>
        <v>463</v>
      </c>
      <c r="F264" s="762">
        <f>Qld!L36/2</f>
        <v>463</v>
      </c>
      <c r="G264" s="150"/>
      <c r="H264" s="119" t="s">
        <v>368</v>
      </c>
      <c r="I264" s="19" t="s">
        <v>147</v>
      </c>
      <c r="J264" s="122">
        <f t="shared" ref="J264:K264" si="60">E256</f>
        <v>0</v>
      </c>
      <c r="K264" s="122">
        <f t="shared" si="60"/>
        <v>0</v>
      </c>
    </row>
    <row r="265" spans="1:11">
      <c r="A265" s="58" t="s">
        <v>31</v>
      </c>
      <c r="B265" s="48" t="s">
        <v>32</v>
      </c>
      <c r="C265" s="49" t="s">
        <v>33</v>
      </c>
      <c r="D265" s="76" t="s">
        <v>102</v>
      </c>
      <c r="E265" s="762">
        <f t="shared" si="37"/>
        <v>19.5</v>
      </c>
      <c r="F265" s="762">
        <f>Qld!L37/2</f>
        <v>19.5</v>
      </c>
      <c r="G265" s="150"/>
      <c r="H265" s="119" t="s">
        <v>369</v>
      </c>
      <c r="I265" s="19" t="s">
        <v>86</v>
      </c>
      <c r="J265" s="122">
        <f t="shared" ref="J265:K265" si="61">E243</f>
        <v>162</v>
      </c>
      <c r="K265" s="122">
        <f t="shared" si="61"/>
        <v>162</v>
      </c>
    </row>
    <row r="266" spans="1:11">
      <c r="A266" s="251" t="s">
        <v>34</v>
      </c>
      <c r="B266" s="814" t="s">
        <v>152</v>
      </c>
      <c r="C266" s="49" t="s">
        <v>35</v>
      </c>
      <c r="D266" s="76" t="s">
        <v>103</v>
      </c>
      <c r="E266" s="762">
        <f t="shared" si="37"/>
        <v>5577</v>
      </c>
      <c r="F266" s="762">
        <f>Qld!L38/2</f>
        <v>5577</v>
      </c>
      <c r="G266" s="150"/>
      <c r="H266" s="119" t="s">
        <v>370</v>
      </c>
      <c r="I266" s="19" t="s">
        <v>143</v>
      </c>
      <c r="J266" s="122">
        <f t="shared" ref="J266:K266" si="62">E249</f>
        <v>0</v>
      </c>
      <c r="K266" s="122">
        <f t="shared" si="62"/>
        <v>0</v>
      </c>
    </row>
    <row r="267" spans="1:11">
      <c r="A267" s="253"/>
      <c r="B267" s="815"/>
      <c r="C267" s="49" t="s">
        <v>105</v>
      </c>
      <c r="D267" s="76" t="s">
        <v>104</v>
      </c>
      <c r="E267" s="762">
        <f t="shared" si="37"/>
        <v>440.5</v>
      </c>
      <c r="F267" s="762">
        <f>Qld!L39/2</f>
        <v>440.5</v>
      </c>
      <c r="G267" s="150"/>
      <c r="H267" s="119" t="s">
        <v>371</v>
      </c>
      <c r="I267" s="19" t="s">
        <v>93</v>
      </c>
      <c r="J267" s="122">
        <f t="shared" ref="J267:K267" si="63">E253</f>
        <v>6802.5</v>
      </c>
      <c r="K267" s="122">
        <f t="shared" si="63"/>
        <v>6802.5</v>
      </c>
    </row>
    <row r="268" spans="1:11">
      <c r="A268" s="251" t="s">
        <v>37</v>
      </c>
      <c r="B268" s="814" t="s">
        <v>153</v>
      </c>
      <c r="C268" s="49" t="s">
        <v>38</v>
      </c>
      <c r="D268" s="76" t="s">
        <v>106</v>
      </c>
      <c r="E268" s="762">
        <f t="shared" si="37"/>
        <v>72.5</v>
      </c>
      <c r="F268" s="762">
        <f>Qld!L40/2</f>
        <v>72.5</v>
      </c>
      <c r="G268" s="150"/>
      <c r="H268" s="119" t="s">
        <v>372</v>
      </c>
      <c r="I268" s="19" t="s">
        <v>85</v>
      </c>
      <c r="J268" s="122">
        <f t="shared" ref="J268:K268" si="64">E242</f>
        <v>494</v>
      </c>
      <c r="K268" s="122">
        <f t="shared" si="64"/>
        <v>494</v>
      </c>
    </row>
    <row r="269" spans="1:11">
      <c r="A269" s="252"/>
      <c r="B269" s="942"/>
      <c r="C269" s="49" t="s">
        <v>39</v>
      </c>
      <c r="D269" s="76" t="s">
        <v>107</v>
      </c>
      <c r="E269" s="762">
        <f t="shared" si="37"/>
        <v>1000</v>
      </c>
      <c r="F269" s="762">
        <f>Qld!L41/2</f>
        <v>1000</v>
      </c>
      <c r="G269" s="150"/>
      <c r="H269" s="119" t="s">
        <v>373</v>
      </c>
      <c r="I269" s="19" t="s">
        <v>374</v>
      </c>
      <c r="J269" s="122">
        <f t="shared" ref="J269:K271" si="65">E238</f>
        <v>7.5</v>
      </c>
      <c r="K269" s="122">
        <f t="shared" si="65"/>
        <v>7.5</v>
      </c>
    </row>
    <row r="270" spans="1:11">
      <c r="A270" s="252"/>
      <c r="B270" s="942"/>
      <c r="C270" s="49" t="s">
        <v>40</v>
      </c>
      <c r="D270" s="76" t="s">
        <v>108</v>
      </c>
      <c r="E270" s="762">
        <f t="shared" si="37"/>
        <v>195.5</v>
      </c>
      <c r="F270" s="762">
        <f>Qld!L42/2</f>
        <v>195.5</v>
      </c>
      <c r="G270" s="150"/>
      <c r="H270" s="119" t="s">
        <v>375</v>
      </c>
      <c r="I270" s="19" t="s">
        <v>82</v>
      </c>
      <c r="J270" s="123">
        <f t="shared" si="65"/>
        <v>7046</v>
      </c>
      <c r="K270" s="123">
        <f t="shared" si="65"/>
        <v>7046</v>
      </c>
    </row>
    <row r="271" spans="1:11">
      <c r="A271" s="253"/>
      <c r="B271" s="815"/>
      <c r="C271" s="49" t="s">
        <v>41</v>
      </c>
      <c r="D271" s="76" t="s">
        <v>109</v>
      </c>
      <c r="E271" s="762">
        <f t="shared" si="37"/>
        <v>5597.5</v>
      </c>
      <c r="F271" s="762">
        <f>Qld!L43/2</f>
        <v>5597.5</v>
      </c>
      <c r="G271" s="150"/>
      <c r="H271" s="119" t="s">
        <v>376</v>
      </c>
      <c r="I271" s="19" t="s">
        <v>83</v>
      </c>
      <c r="J271" s="123">
        <f t="shared" si="65"/>
        <v>111794.5</v>
      </c>
      <c r="K271" s="123">
        <f t="shared" si="65"/>
        <v>111794.5</v>
      </c>
    </row>
    <row r="272" spans="1:11">
      <c r="A272" s="251" t="s">
        <v>42</v>
      </c>
      <c r="B272" s="814" t="s">
        <v>154</v>
      </c>
      <c r="C272" s="49" t="s">
        <v>43</v>
      </c>
      <c r="D272" s="76" t="s">
        <v>110</v>
      </c>
      <c r="E272" s="762">
        <f t="shared" si="37"/>
        <v>783.5</v>
      </c>
      <c r="F272" s="762">
        <f>Qld!L44/2</f>
        <v>783.5</v>
      </c>
      <c r="G272" s="150"/>
      <c r="H272" s="119" t="s">
        <v>377</v>
      </c>
      <c r="I272" s="19" t="s">
        <v>378</v>
      </c>
      <c r="J272" s="123">
        <f t="shared" ref="J272:K272" si="66">E299</f>
        <v>57661.5</v>
      </c>
      <c r="K272" s="123">
        <f t="shared" si="66"/>
        <v>57661.5</v>
      </c>
    </row>
    <row r="273" spans="1:11">
      <c r="A273" s="252"/>
      <c r="B273" s="942"/>
      <c r="C273" s="49" t="s">
        <v>44</v>
      </c>
      <c r="D273" s="76" t="s">
        <v>111</v>
      </c>
      <c r="E273" s="762">
        <f t="shared" si="37"/>
        <v>25.5</v>
      </c>
      <c r="F273" s="762">
        <f>Qld!L45/2</f>
        <v>25.5</v>
      </c>
      <c r="G273" s="214" t="str">
        <f>G254</f>
        <v>Qld</v>
      </c>
      <c r="H273" s="119" t="s">
        <v>379</v>
      </c>
      <c r="I273" s="19" t="s">
        <v>176</v>
      </c>
      <c r="J273" s="123">
        <f t="shared" ref="J273:K273" si="67">E273</f>
        <v>25.5</v>
      </c>
      <c r="K273" s="123">
        <f t="shared" si="67"/>
        <v>25.5</v>
      </c>
    </row>
    <row r="274" spans="1:11">
      <c r="A274" s="253"/>
      <c r="B274" s="815"/>
      <c r="C274" s="49" t="s">
        <v>45</v>
      </c>
      <c r="D274" s="76" t="s">
        <v>155</v>
      </c>
      <c r="E274" s="762">
        <f t="shared" si="37"/>
        <v>103</v>
      </c>
      <c r="F274" s="762">
        <f>Qld!L46/2</f>
        <v>103</v>
      </c>
      <c r="G274" s="150"/>
      <c r="H274" s="119" t="s">
        <v>380</v>
      </c>
      <c r="I274" s="19" t="s">
        <v>381</v>
      </c>
      <c r="J274" s="123">
        <f t="shared" ref="J274:K274" si="68">E287</f>
        <v>4.5</v>
      </c>
      <c r="K274" s="123">
        <f t="shared" si="68"/>
        <v>4.5</v>
      </c>
    </row>
    <row r="275" spans="1:11">
      <c r="A275" s="251" t="s">
        <v>46</v>
      </c>
      <c r="B275" s="814" t="s">
        <v>156</v>
      </c>
      <c r="C275" s="49" t="s">
        <v>47</v>
      </c>
      <c r="D275" s="76" t="s">
        <v>112</v>
      </c>
      <c r="E275" s="762">
        <f t="shared" si="37"/>
        <v>36252</v>
      </c>
      <c r="F275" s="762">
        <f>Qld!L47/2</f>
        <v>36252</v>
      </c>
      <c r="G275" s="150"/>
      <c r="H275" s="119" t="s">
        <v>382</v>
      </c>
      <c r="I275" s="19" t="s">
        <v>383</v>
      </c>
      <c r="J275" s="123">
        <f t="shared" ref="J275:K275" si="69">E283</f>
        <v>477.5</v>
      </c>
      <c r="K275" s="123">
        <f t="shared" si="69"/>
        <v>477.5</v>
      </c>
    </row>
    <row r="276" spans="1:11">
      <c r="A276" s="252"/>
      <c r="B276" s="942"/>
      <c r="C276" s="49" t="s">
        <v>48</v>
      </c>
      <c r="D276" s="76" t="s">
        <v>157</v>
      </c>
      <c r="E276" s="762">
        <f t="shared" si="37"/>
        <v>97539.5</v>
      </c>
      <c r="F276" s="762">
        <f>Qld!L48/2</f>
        <v>97539.5</v>
      </c>
      <c r="G276" s="150"/>
      <c r="H276" s="119" t="s">
        <v>384</v>
      </c>
      <c r="I276" s="19" t="s">
        <v>106</v>
      </c>
      <c r="J276" s="123">
        <f t="shared" ref="J276:K276" si="70">E268</f>
        <v>72.5</v>
      </c>
      <c r="K276" s="123">
        <f t="shared" si="70"/>
        <v>72.5</v>
      </c>
    </row>
    <row r="277" spans="1:11">
      <c r="A277" s="253"/>
      <c r="B277" s="815"/>
      <c r="C277" s="49" t="s">
        <v>49</v>
      </c>
      <c r="D277" s="76" t="s">
        <v>158</v>
      </c>
      <c r="E277" s="762">
        <f t="shared" si="37"/>
        <v>89</v>
      </c>
      <c r="F277" s="762">
        <f>Qld!L49/2</f>
        <v>89</v>
      </c>
      <c r="G277" s="150"/>
      <c r="H277" s="119" t="s">
        <v>385</v>
      </c>
      <c r="I277" s="19" t="s">
        <v>108</v>
      </c>
      <c r="J277" s="123">
        <f t="shared" ref="J277:K277" si="71">E270</f>
        <v>195.5</v>
      </c>
      <c r="K277" s="123">
        <f t="shared" si="71"/>
        <v>195.5</v>
      </c>
    </row>
    <row r="278" spans="1:11">
      <c r="A278" s="251" t="s">
        <v>50</v>
      </c>
      <c r="B278" s="814" t="s">
        <v>159</v>
      </c>
      <c r="C278" s="49" t="s">
        <v>51</v>
      </c>
      <c r="D278" s="76" t="s">
        <v>113</v>
      </c>
      <c r="E278" s="762">
        <f t="shared" si="37"/>
        <v>61037</v>
      </c>
      <c r="F278" s="762">
        <f>Qld!L50/2</f>
        <v>61037</v>
      </c>
      <c r="G278" s="150"/>
      <c r="H278" s="119" t="s">
        <v>386</v>
      </c>
      <c r="I278" s="19" t="s">
        <v>107</v>
      </c>
      <c r="J278" s="123">
        <f t="shared" ref="J278:K278" si="72">E269</f>
        <v>1000</v>
      </c>
      <c r="K278" s="123">
        <f t="shared" si="72"/>
        <v>1000</v>
      </c>
    </row>
    <row r="279" spans="1:11">
      <c r="A279" s="252"/>
      <c r="B279" s="942"/>
      <c r="C279" s="49" t="s">
        <v>115</v>
      </c>
      <c r="D279" s="76" t="s">
        <v>114</v>
      </c>
      <c r="E279" s="762">
        <f t="shared" si="37"/>
        <v>63770.5</v>
      </c>
      <c r="F279" s="762">
        <f>Qld!L51/2</f>
        <v>63770.5</v>
      </c>
      <c r="G279" s="150"/>
      <c r="H279" s="119" t="s">
        <v>387</v>
      </c>
      <c r="I279" s="19" t="s">
        <v>388</v>
      </c>
      <c r="J279" s="122">
        <f t="shared" ref="J279:K280" si="73">E285</f>
        <v>0</v>
      </c>
      <c r="K279" s="122">
        <f t="shared" si="73"/>
        <v>0</v>
      </c>
    </row>
    <row r="280" spans="1:11">
      <c r="A280" s="252"/>
      <c r="B280" s="942"/>
      <c r="C280" s="49" t="s">
        <v>52</v>
      </c>
      <c r="D280" s="76" t="s">
        <v>116</v>
      </c>
      <c r="E280" s="762">
        <f t="shared" si="37"/>
        <v>3077.5</v>
      </c>
      <c r="F280" s="762">
        <f>Qld!L52/2</f>
        <v>3077.5</v>
      </c>
      <c r="G280" s="150"/>
      <c r="H280" s="119" t="s">
        <v>389</v>
      </c>
      <c r="I280" s="19" t="s">
        <v>390</v>
      </c>
      <c r="J280" s="122">
        <f t="shared" si="73"/>
        <v>0</v>
      </c>
      <c r="K280" s="122">
        <f t="shared" si="73"/>
        <v>0</v>
      </c>
    </row>
    <row r="281" spans="1:11">
      <c r="A281" s="253"/>
      <c r="B281" s="815"/>
      <c r="C281" s="49" t="s">
        <v>118</v>
      </c>
      <c r="D281" s="76" t="s">
        <v>117</v>
      </c>
      <c r="E281" s="762">
        <f t="shared" si="37"/>
        <v>0</v>
      </c>
      <c r="F281" s="762">
        <f>Qld!L53/2</f>
        <v>0</v>
      </c>
      <c r="G281" s="150"/>
      <c r="H281" s="119" t="s">
        <v>391</v>
      </c>
      <c r="I281" s="19" t="s">
        <v>392</v>
      </c>
      <c r="J281" s="122">
        <f t="shared" ref="J281:K281" si="74">E284</f>
        <v>7.5</v>
      </c>
      <c r="K281" s="122">
        <f t="shared" si="74"/>
        <v>7.5</v>
      </c>
    </row>
    <row r="282" spans="1:11" ht="25.5">
      <c r="A282" s="251" t="s">
        <v>53</v>
      </c>
      <c r="B282" s="814" t="s">
        <v>54</v>
      </c>
      <c r="C282" s="49" t="s">
        <v>55</v>
      </c>
      <c r="D282" s="109" t="s">
        <v>160</v>
      </c>
      <c r="E282" s="762">
        <f t="shared" si="37"/>
        <v>778</v>
      </c>
      <c r="F282" s="762">
        <f>Qld!L54/2</f>
        <v>778</v>
      </c>
      <c r="G282" s="150"/>
      <c r="H282" s="62"/>
      <c r="I282" s="73" t="s">
        <v>405</v>
      </c>
      <c r="J282" s="115"/>
      <c r="K282" s="116"/>
    </row>
    <row r="283" spans="1:11">
      <c r="A283" s="252"/>
      <c r="B283" s="942"/>
      <c r="C283" s="49" t="s">
        <v>56</v>
      </c>
      <c r="D283" s="76" t="s">
        <v>161</v>
      </c>
      <c r="E283" s="762">
        <f t="shared" si="37"/>
        <v>477.5</v>
      </c>
      <c r="F283" s="762">
        <f>Qld!L55/2</f>
        <v>477.5</v>
      </c>
      <c r="G283" s="150"/>
      <c r="H283" s="119" t="s">
        <v>393</v>
      </c>
      <c r="I283" s="19" t="s">
        <v>394</v>
      </c>
      <c r="J283" s="163">
        <f>'Gap data 2'!$B$17*'Gap data 2'!E6</f>
        <v>1342619.01025173</v>
      </c>
      <c r="K283" s="371">
        <f>'Gap data 2'!$B$17*'Gap data 2'!E7</f>
        <v>1354013.385034031</v>
      </c>
    </row>
    <row r="284" spans="1:11">
      <c r="A284" s="252"/>
      <c r="B284" s="942"/>
      <c r="C284" s="49" t="s">
        <v>57</v>
      </c>
      <c r="D284" s="76" t="s">
        <v>162</v>
      </c>
      <c r="E284" s="762">
        <f t="shared" si="37"/>
        <v>7.5</v>
      </c>
      <c r="F284" s="762">
        <f>Qld!L56/2</f>
        <v>7.5</v>
      </c>
      <c r="G284" s="150"/>
      <c r="H284" s="119" t="s">
        <v>395</v>
      </c>
      <c r="I284" s="19" t="s">
        <v>396</v>
      </c>
      <c r="J284" s="371">
        <f>Qld!P56</f>
        <v>0</v>
      </c>
      <c r="K284" s="371">
        <f>Qld!Q56</f>
        <v>0</v>
      </c>
    </row>
    <row r="285" spans="1:11">
      <c r="A285" s="252"/>
      <c r="B285" s="942"/>
      <c r="C285" s="49" t="s">
        <v>120</v>
      </c>
      <c r="D285" s="76" t="s">
        <v>119</v>
      </c>
      <c r="E285" s="762">
        <f t="shared" si="37"/>
        <v>0</v>
      </c>
      <c r="F285" s="762">
        <f>Qld!L57/2</f>
        <v>0</v>
      </c>
      <c r="G285" s="150"/>
      <c r="H285" s="72"/>
      <c r="I285" s="73" t="s">
        <v>408</v>
      </c>
      <c r="J285" s="117"/>
      <c r="K285" s="118"/>
    </row>
    <row r="286" spans="1:11">
      <c r="A286" s="252"/>
      <c r="B286" s="942"/>
      <c r="C286" s="49" t="s">
        <v>122</v>
      </c>
      <c r="D286" s="76" t="s">
        <v>121</v>
      </c>
      <c r="E286" s="762">
        <f t="shared" si="37"/>
        <v>0</v>
      </c>
      <c r="F286" s="762">
        <f>Qld!L58/2</f>
        <v>0</v>
      </c>
      <c r="G286" s="150"/>
      <c r="H286" s="58">
        <v>1</v>
      </c>
      <c r="I286" s="76" t="s">
        <v>397</v>
      </c>
      <c r="J286" s="80">
        <f>SUM(E251:E252,E257:E258)</f>
        <v>91.5</v>
      </c>
      <c r="K286" s="80">
        <f>SUM(F251:F252,F257:F258)</f>
        <v>91.5</v>
      </c>
    </row>
    <row r="287" spans="1:11">
      <c r="A287" s="252"/>
      <c r="B287" s="942"/>
      <c r="C287" s="49" t="s">
        <v>124</v>
      </c>
      <c r="D287" s="76" t="s">
        <v>123</v>
      </c>
      <c r="E287" s="762">
        <f t="shared" si="37"/>
        <v>4.5</v>
      </c>
      <c r="F287" s="762">
        <f>Qld!L59/2</f>
        <v>4.5</v>
      </c>
      <c r="G287" s="150"/>
      <c r="H287" s="58">
        <v>2</v>
      </c>
      <c r="I287" s="76" t="s">
        <v>398</v>
      </c>
      <c r="J287" s="80">
        <f>SUM(E259:E261,E264)</f>
        <v>28186</v>
      </c>
      <c r="K287" s="80">
        <f>SUM(F259:F261,F264)</f>
        <v>28186</v>
      </c>
    </row>
    <row r="288" spans="1:11">
      <c r="A288" s="252"/>
      <c r="B288" s="942"/>
      <c r="C288" s="49" t="s">
        <v>58</v>
      </c>
      <c r="D288" s="76" t="s">
        <v>136</v>
      </c>
      <c r="E288" s="762">
        <f t="shared" si="37"/>
        <v>18.5</v>
      </c>
      <c r="F288" s="762">
        <f>Qld!L60/2</f>
        <v>18.5</v>
      </c>
      <c r="G288" s="150"/>
      <c r="H288" s="58">
        <v>3</v>
      </c>
      <c r="I288" s="76" t="s">
        <v>323</v>
      </c>
      <c r="J288" s="80">
        <f>SUM(E288:E291)</f>
        <v>428.5</v>
      </c>
      <c r="K288" s="80">
        <f>SUM(F288:F291)</f>
        <v>428.5</v>
      </c>
    </row>
    <row r="289" spans="1:11">
      <c r="A289" s="252"/>
      <c r="B289" s="942"/>
      <c r="C289" s="49" t="s">
        <v>59</v>
      </c>
      <c r="D289" s="76" t="s">
        <v>125</v>
      </c>
      <c r="E289" s="762">
        <f t="shared" si="37"/>
        <v>195.5</v>
      </c>
      <c r="F289" s="762">
        <f>Qld!L61/2</f>
        <v>195.5</v>
      </c>
      <c r="G289" s="150"/>
      <c r="H289" s="58">
        <v>4</v>
      </c>
      <c r="I289" s="76" t="s">
        <v>159</v>
      </c>
      <c r="J289" s="80">
        <f t="shared" ref="J289" si="75">SUM(E278:E281)</f>
        <v>127885</v>
      </c>
      <c r="K289" s="80">
        <f>SUM(F278:F281)</f>
        <v>127885</v>
      </c>
    </row>
    <row r="290" spans="1:11" ht="25.5">
      <c r="A290" s="252"/>
      <c r="B290" s="942"/>
      <c r="C290" s="49" t="s">
        <v>60</v>
      </c>
      <c r="D290" s="109" t="s">
        <v>163</v>
      </c>
      <c r="E290" s="762">
        <f t="shared" si="37"/>
        <v>212</v>
      </c>
      <c r="F290" s="762">
        <f>Qld!L62/2</f>
        <v>212</v>
      </c>
      <c r="G290" s="150"/>
      <c r="H290" s="58">
        <v>5</v>
      </c>
      <c r="I290" s="108" t="s">
        <v>399</v>
      </c>
      <c r="J290" s="80">
        <f>E292</f>
        <v>0</v>
      </c>
      <c r="K290" s="80">
        <f>F292</f>
        <v>0</v>
      </c>
    </row>
    <row r="291" spans="1:11">
      <c r="A291" s="253"/>
      <c r="B291" s="815"/>
      <c r="C291" s="49" t="s">
        <v>61</v>
      </c>
      <c r="D291" s="76" t="s">
        <v>126</v>
      </c>
      <c r="E291" s="762">
        <f t="shared" si="37"/>
        <v>2.5</v>
      </c>
      <c r="F291" s="762">
        <f>Qld!L63/2</f>
        <v>2.5</v>
      </c>
      <c r="G291" s="150"/>
      <c r="H291" s="58">
        <v>6</v>
      </c>
      <c r="I291" s="248" t="s">
        <v>468</v>
      </c>
      <c r="J291" s="425">
        <f t="shared" ref="J291" si="76">E293</f>
        <v>176539.5</v>
      </c>
      <c r="K291" s="425">
        <f t="shared" ref="K291" si="77">F293</f>
        <v>176539.5</v>
      </c>
    </row>
    <row r="292" spans="1:11">
      <c r="A292" s="251" t="s">
        <v>62</v>
      </c>
      <c r="B292" s="814" t="s">
        <v>164</v>
      </c>
      <c r="C292" s="49" t="s">
        <v>63</v>
      </c>
      <c r="D292" s="76" t="s">
        <v>165</v>
      </c>
      <c r="E292" s="762">
        <f t="shared" si="37"/>
        <v>0</v>
      </c>
      <c r="F292" s="762">
        <f>Qld!L64/2</f>
        <v>0</v>
      </c>
      <c r="H292" s="58">
        <v>7</v>
      </c>
      <c r="I292" s="248" t="s">
        <v>469</v>
      </c>
      <c r="J292" s="425">
        <f>SUM(E294,E297)</f>
        <v>5198</v>
      </c>
      <c r="K292" s="425">
        <f>SUM(F294,F297)</f>
        <v>5198</v>
      </c>
    </row>
    <row r="293" spans="1:11">
      <c r="A293" s="252"/>
      <c r="B293" s="942"/>
      <c r="C293" s="49" t="s">
        <v>64</v>
      </c>
      <c r="D293" s="76" t="s">
        <v>127</v>
      </c>
      <c r="E293" s="371">
        <f>'Gap data 2'!$E39</f>
        <v>176539.5</v>
      </c>
      <c r="F293" s="371">
        <f>'Gap data 2'!$E39</f>
        <v>176539.5</v>
      </c>
      <c r="G293" s="214" t="str">
        <f>G273</f>
        <v>Qld</v>
      </c>
      <c r="H293" s="58">
        <v>8</v>
      </c>
      <c r="I293" s="76" t="s">
        <v>133</v>
      </c>
      <c r="J293" s="80">
        <f>E306</f>
        <v>46191.380008878303</v>
      </c>
      <c r="K293" s="80">
        <f>F306</f>
        <v>46191.380008878303</v>
      </c>
    </row>
    <row r="294" spans="1:11">
      <c r="A294" s="252"/>
      <c r="B294" s="942"/>
      <c r="C294" s="49" t="s">
        <v>65</v>
      </c>
      <c r="D294" s="76" t="s">
        <v>166</v>
      </c>
      <c r="E294" s="762">
        <f t="shared" si="37"/>
        <v>618</v>
      </c>
      <c r="F294" s="762">
        <f>Qld!L66/2</f>
        <v>618</v>
      </c>
      <c r="G294" s="104"/>
      <c r="K294" s="509"/>
    </row>
    <row r="295" spans="1:11">
      <c r="A295" s="252"/>
      <c r="B295" s="942"/>
      <c r="C295" s="49" t="s">
        <v>66</v>
      </c>
      <c r="D295" s="76" t="s">
        <v>173</v>
      </c>
      <c r="E295" s="762">
        <f t="shared" si="37"/>
        <v>1987.5</v>
      </c>
      <c r="F295" s="762">
        <f>Qld!L67/2</f>
        <v>1987.5</v>
      </c>
      <c r="G295" s="104"/>
    </row>
    <row r="296" spans="1:11">
      <c r="A296" s="252"/>
      <c r="B296" s="942"/>
      <c r="C296" s="49" t="s">
        <v>67</v>
      </c>
      <c r="D296" s="76" t="s">
        <v>174</v>
      </c>
      <c r="E296" s="762">
        <f t="shared" si="37"/>
        <v>6198.5</v>
      </c>
      <c r="F296" s="762">
        <f>Qld!L68/2</f>
        <v>6198.5</v>
      </c>
      <c r="G296" s="104"/>
    </row>
    <row r="297" spans="1:11">
      <c r="A297" s="252"/>
      <c r="B297" s="942"/>
      <c r="C297" s="49" t="s">
        <v>68</v>
      </c>
      <c r="D297" s="76" t="s">
        <v>175</v>
      </c>
      <c r="E297" s="762">
        <f t="shared" si="37"/>
        <v>4580</v>
      </c>
      <c r="F297" s="762">
        <f>Qld!L69/2</f>
        <v>4580</v>
      </c>
      <c r="G297" s="104"/>
    </row>
    <row r="298" spans="1:11">
      <c r="A298" s="252"/>
      <c r="B298" s="942"/>
      <c r="C298" s="49" t="s">
        <v>128</v>
      </c>
      <c r="D298" s="76" t="s">
        <v>167</v>
      </c>
      <c r="E298" s="371">
        <f>IF(ISNUMBER(Qld!K70),Qld!K70,0)+'Gap data 2'!$E$32</f>
        <v>155937.1472305136</v>
      </c>
      <c r="F298" s="371">
        <f>IF(ISNUMBER(Qld!L70),Qld!L70,0)+'Gap data 2'!$E$32</f>
        <v>356391.14723051363</v>
      </c>
      <c r="G298" s="104"/>
    </row>
    <row r="299" spans="1:11">
      <c r="A299" s="252"/>
      <c r="B299" s="942"/>
      <c r="C299" s="49" t="s">
        <v>69</v>
      </c>
      <c r="D299" s="76" t="s">
        <v>129</v>
      </c>
      <c r="E299" s="762">
        <f t="shared" si="37"/>
        <v>57661.5</v>
      </c>
      <c r="F299" s="762">
        <f>Qld!L71/2</f>
        <v>57661.5</v>
      </c>
      <c r="G299" s="104"/>
    </row>
    <row r="300" spans="1:11">
      <c r="A300" s="253"/>
      <c r="B300" s="815"/>
      <c r="C300" s="49" t="s">
        <v>70</v>
      </c>
      <c r="D300" s="76" t="s">
        <v>168</v>
      </c>
      <c r="E300" s="370"/>
      <c r="F300" s="370"/>
      <c r="G300" s="104"/>
    </row>
    <row r="301" spans="1:11">
      <c r="A301" s="251" t="s">
        <v>71</v>
      </c>
      <c r="B301" s="814" t="s">
        <v>169</v>
      </c>
      <c r="C301" s="49" t="s">
        <v>72</v>
      </c>
      <c r="D301" s="76" t="s">
        <v>170</v>
      </c>
      <c r="E301" s="762">
        <f t="shared" ref="E301:E305" si="78">F301</f>
        <v>12315</v>
      </c>
      <c r="F301" s="762">
        <f>Qld!L73/2</f>
        <v>12315</v>
      </c>
      <c r="G301" s="104"/>
    </row>
    <row r="302" spans="1:11">
      <c r="A302" s="252"/>
      <c r="B302" s="942"/>
      <c r="C302" s="49" t="s">
        <v>73</v>
      </c>
      <c r="D302" s="76" t="s">
        <v>130</v>
      </c>
      <c r="E302" s="762">
        <f t="shared" si="78"/>
        <v>891</v>
      </c>
      <c r="F302" s="762">
        <f>Qld!L74/2</f>
        <v>891</v>
      </c>
      <c r="G302" s="104"/>
    </row>
    <row r="303" spans="1:11">
      <c r="A303" s="253"/>
      <c r="B303" s="815"/>
      <c r="C303" s="49" t="s">
        <v>74</v>
      </c>
      <c r="D303" s="76" t="s">
        <v>131</v>
      </c>
      <c r="E303" s="762">
        <f t="shared" si="78"/>
        <v>38</v>
      </c>
      <c r="F303" s="762">
        <f>Qld!L75/2</f>
        <v>38</v>
      </c>
      <c r="G303" s="104"/>
    </row>
    <row r="304" spans="1:11" ht="38.25">
      <c r="A304" s="251" t="s">
        <v>75</v>
      </c>
      <c r="B304" s="814" t="s">
        <v>76</v>
      </c>
      <c r="C304" s="49" t="s">
        <v>77</v>
      </c>
      <c r="D304" s="109" t="s">
        <v>171</v>
      </c>
      <c r="E304" s="762">
        <f t="shared" si="78"/>
        <v>558.5</v>
      </c>
      <c r="F304" s="762">
        <f>Qld!L76/2</f>
        <v>558.5</v>
      </c>
      <c r="G304" s="104"/>
    </row>
    <row r="305" spans="1:11">
      <c r="A305" s="110"/>
      <c r="B305" s="942"/>
      <c r="C305" s="49" t="s">
        <v>78</v>
      </c>
      <c r="D305" s="76" t="s">
        <v>132</v>
      </c>
      <c r="E305" s="762">
        <f t="shared" si="78"/>
        <v>79.5</v>
      </c>
      <c r="F305" s="762">
        <f>Qld!L77/2</f>
        <v>79.5</v>
      </c>
      <c r="G305" s="104"/>
    </row>
    <row r="306" spans="1:11">
      <c r="A306" s="110"/>
      <c r="B306" s="942"/>
      <c r="C306" s="49" t="s">
        <v>134</v>
      </c>
      <c r="D306" s="76" t="s">
        <v>133</v>
      </c>
      <c r="E306" s="371">
        <f>'Gap data 2'!E29</f>
        <v>46191.380008878303</v>
      </c>
      <c r="F306" s="371">
        <f>'Gap data 2'!E29</f>
        <v>46191.380008878303</v>
      </c>
      <c r="G306" s="104"/>
    </row>
    <row r="307" spans="1:11">
      <c r="A307" s="111"/>
      <c r="B307" s="815"/>
      <c r="C307" s="49" t="s">
        <v>172</v>
      </c>
      <c r="D307" s="76" t="s">
        <v>135</v>
      </c>
      <c r="E307" s="762">
        <f t="shared" ref="E307" si="79">F307</f>
        <v>1145</v>
      </c>
      <c r="F307" s="762">
        <f>Qld!L79/2</f>
        <v>1145</v>
      </c>
      <c r="G307" s="104"/>
    </row>
    <row r="308" spans="1:11">
      <c r="G308" s="104"/>
      <c r="H308" s="104"/>
      <c r="I308" s="104"/>
      <c r="J308" s="104"/>
      <c r="K308" s="104"/>
    </row>
    <row r="309" spans="1:11" s="213" customFormat="1" ht="15.75">
      <c r="A309" s="213" t="s">
        <v>449</v>
      </c>
      <c r="H309" s="213" t="str">
        <f>A309</f>
        <v>Adjusted SA data</v>
      </c>
    </row>
    <row r="310" spans="1:11">
      <c r="G310" s="127"/>
    </row>
    <row r="311" spans="1:11">
      <c r="A311" s="128" t="s">
        <v>3</v>
      </c>
      <c r="B311" s="838" t="s">
        <v>137</v>
      </c>
      <c r="C311" s="131" t="s">
        <v>4</v>
      </c>
      <c r="D311" s="132" t="s">
        <v>79</v>
      </c>
      <c r="E311" s="753">
        <f>F311</f>
        <v>43.71</v>
      </c>
      <c r="F311" s="753">
        <f>SA!L8/2</f>
        <v>43.71</v>
      </c>
      <c r="G311" s="150"/>
      <c r="H311" s="119" t="s">
        <v>324</v>
      </c>
      <c r="I311" s="18" t="s">
        <v>325</v>
      </c>
      <c r="J311" s="133">
        <f>E376</f>
        <v>2887.5249999999996</v>
      </c>
      <c r="K311" s="133">
        <f>F376</f>
        <v>2887.5249999999996</v>
      </c>
    </row>
    <row r="312" spans="1:11">
      <c r="A312" s="135"/>
      <c r="B312" s="839"/>
      <c r="C312" s="131" t="s">
        <v>138</v>
      </c>
      <c r="D312" s="132" t="s">
        <v>139</v>
      </c>
      <c r="E312" s="753">
        <f t="shared" ref="E312:E352" si="80">F312</f>
        <v>7.5926533500000004E-2</v>
      </c>
      <c r="F312" s="753">
        <f>SA!L9/2</f>
        <v>7.5926533500000004E-2</v>
      </c>
      <c r="G312" s="150"/>
      <c r="H312" s="119" t="s">
        <v>326</v>
      </c>
      <c r="I312" s="18" t="s">
        <v>327</v>
      </c>
      <c r="J312" s="133">
        <f>E378</f>
        <v>2.6850000000000001</v>
      </c>
      <c r="K312" s="133">
        <f>F378</f>
        <v>2.6850000000000001</v>
      </c>
    </row>
    <row r="313" spans="1:11">
      <c r="A313" s="136"/>
      <c r="B313" s="840"/>
      <c r="C313" s="131" t="s">
        <v>81</v>
      </c>
      <c r="D313" s="132" t="s">
        <v>80</v>
      </c>
      <c r="E313" s="753">
        <f t="shared" si="80"/>
        <v>6.68</v>
      </c>
      <c r="F313" s="753">
        <f>SA!L10/2</f>
        <v>6.68</v>
      </c>
      <c r="G313" s="150"/>
      <c r="H313" s="119" t="s">
        <v>328</v>
      </c>
      <c r="I313" s="18" t="s">
        <v>130</v>
      </c>
      <c r="J313" s="133">
        <f>E377</f>
        <v>186.13499999999999</v>
      </c>
      <c r="K313" s="133">
        <f>F377</f>
        <v>186.13499999999999</v>
      </c>
    </row>
    <row r="314" spans="1:11">
      <c r="A314" s="121" t="s">
        <v>5</v>
      </c>
      <c r="B314" s="129" t="s">
        <v>6</v>
      </c>
      <c r="C314" s="131" t="s">
        <v>7</v>
      </c>
      <c r="D314" s="132" t="s">
        <v>82</v>
      </c>
      <c r="E314" s="753">
        <f t="shared" si="80"/>
        <v>359.18</v>
      </c>
      <c r="F314" s="753">
        <f>SA!L11/2</f>
        <v>359.18</v>
      </c>
      <c r="G314" s="150"/>
      <c r="H314" s="119" t="s">
        <v>329</v>
      </c>
      <c r="I314" s="18" t="s">
        <v>330</v>
      </c>
      <c r="J314" s="133">
        <f>E347</f>
        <v>10.870000000000001</v>
      </c>
      <c r="K314" s="133">
        <f>F347</f>
        <v>10.870000000000001</v>
      </c>
    </row>
    <row r="315" spans="1:11">
      <c r="A315" s="121" t="s">
        <v>8</v>
      </c>
      <c r="B315" s="129" t="s">
        <v>140</v>
      </c>
      <c r="C315" s="131" t="s">
        <v>9</v>
      </c>
      <c r="D315" s="132" t="s">
        <v>83</v>
      </c>
      <c r="E315" s="753">
        <f t="shared" si="80"/>
        <v>13837.089999999998</v>
      </c>
      <c r="F315" s="753">
        <f>SA!L12/2</f>
        <v>13837.089999999998</v>
      </c>
      <c r="G315" s="150"/>
      <c r="H315" s="119" t="s">
        <v>331</v>
      </c>
      <c r="I315" s="18" t="s">
        <v>332</v>
      </c>
      <c r="J315" s="133">
        <f>E349</f>
        <v>151.85999999999999</v>
      </c>
      <c r="K315" s="133">
        <f>F349</f>
        <v>151.85999999999999</v>
      </c>
    </row>
    <row r="316" spans="1:11">
      <c r="A316" s="128" t="s">
        <v>10</v>
      </c>
      <c r="B316" s="838" t="s">
        <v>11</v>
      </c>
      <c r="C316" s="131" t="s">
        <v>12</v>
      </c>
      <c r="D316" s="132" t="s">
        <v>84</v>
      </c>
      <c r="E316" s="753">
        <f t="shared" si="80"/>
        <v>24.119999999999997</v>
      </c>
      <c r="F316" s="753">
        <f>SA!L13/2</f>
        <v>24.119999999999997</v>
      </c>
      <c r="G316" s="150"/>
      <c r="H316" s="119" t="s">
        <v>333</v>
      </c>
      <c r="I316" s="18" t="s">
        <v>334</v>
      </c>
      <c r="J316" s="133">
        <f>E346</f>
        <v>13.2</v>
      </c>
      <c r="K316" s="133">
        <f>F346</f>
        <v>13.2</v>
      </c>
    </row>
    <row r="317" spans="1:11">
      <c r="A317" s="135"/>
      <c r="B317" s="839"/>
      <c r="C317" s="131" t="s">
        <v>13</v>
      </c>
      <c r="D317" s="132" t="s">
        <v>85</v>
      </c>
      <c r="E317" s="753">
        <f t="shared" si="80"/>
        <v>3.64</v>
      </c>
      <c r="F317" s="753">
        <f>SA!L14/2</f>
        <v>3.64</v>
      </c>
      <c r="G317" s="150"/>
      <c r="H317" s="119" t="s">
        <v>335</v>
      </c>
      <c r="I317" s="18" t="s">
        <v>336</v>
      </c>
      <c r="J317" s="133">
        <f>E312</f>
        <v>7.5926533500000004E-2</v>
      </c>
      <c r="K317" s="133">
        <f>F312</f>
        <v>7.5926533500000004E-2</v>
      </c>
    </row>
    <row r="318" spans="1:11">
      <c r="A318" s="135"/>
      <c r="B318" s="839"/>
      <c r="C318" s="131" t="s">
        <v>14</v>
      </c>
      <c r="D318" s="132" t="s">
        <v>86</v>
      </c>
      <c r="E318" s="753">
        <f t="shared" si="80"/>
        <v>14.145</v>
      </c>
      <c r="F318" s="753">
        <f>SA!L15/2</f>
        <v>14.145</v>
      </c>
      <c r="G318" s="150"/>
      <c r="H318" s="119" t="s">
        <v>337</v>
      </c>
      <c r="I318" s="18" t="s">
        <v>322</v>
      </c>
      <c r="J318" s="133">
        <f t="shared" ref="J318:K319" si="81">E350</f>
        <v>633.35500000000002</v>
      </c>
      <c r="K318" s="133">
        <f t="shared" si="81"/>
        <v>633.35500000000002</v>
      </c>
    </row>
    <row r="319" spans="1:11">
      <c r="A319" s="135"/>
      <c r="B319" s="839"/>
      <c r="C319" s="131" t="s">
        <v>15</v>
      </c>
      <c r="D319" s="132" t="s">
        <v>87</v>
      </c>
      <c r="E319" s="753">
        <f t="shared" si="80"/>
        <v>0.36</v>
      </c>
      <c r="F319" s="753">
        <f>SA!L16/2</f>
        <v>0.36</v>
      </c>
      <c r="G319" s="150"/>
      <c r="H319" s="119" t="s">
        <v>338</v>
      </c>
      <c r="I319" s="18" t="s">
        <v>339</v>
      </c>
      <c r="J319" s="133">
        <f t="shared" si="81"/>
        <v>1951.385</v>
      </c>
      <c r="K319" s="133">
        <f t="shared" si="81"/>
        <v>1951.385</v>
      </c>
    </row>
    <row r="320" spans="1:11">
      <c r="A320" s="135"/>
      <c r="B320" s="839"/>
      <c r="C320" s="131" t="s">
        <v>16</v>
      </c>
      <c r="D320" s="132" t="s">
        <v>88</v>
      </c>
      <c r="E320" s="753">
        <f t="shared" si="80"/>
        <v>4.45</v>
      </c>
      <c r="F320" s="753">
        <f>SA!L17/2</f>
        <v>4.45</v>
      </c>
      <c r="G320" s="150"/>
      <c r="H320" s="119" t="s">
        <v>340</v>
      </c>
      <c r="I320" s="18" t="s">
        <v>341</v>
      </c>
      <c r="J320" s="133">
        <f>E357</f>
        <v>13.46</v>
      </c>
      <c r="K320" s="133">
        <f>F357</f>
        <v>13.46</v>
      </c>
    </row>
    <row r="321" spans="1:11">
      <c r="A321" s="135"/>
      <c r="B321" s="839"/>
      <c r="C321" s="131" t="s">
        <v>17</v>
      </c>
      <c r="D321" s="132" t="s">
        <v>89</v>
      </c>
      <c r="E321" s="753">
        <f t="shared" si="80"/>
        <v>1.865</v>
      </c>
      <c r="F321" s="753">
        <f>SA!L18/2</f>
        <v>1.865</v>
      </c>
      <c r="G321" s="150"/>
      <c r="H321" s="119" t="s">
        <v>342</v>
      </c>
      <c r="I321" s="18" t="s">
        <v>343</v>
      </c>
      <c r="J321" s="133">
        <f>E352</f>
        <v>9314.15</v>
      </c>
      <c r="K321" s="133">
        <f>F352</f>
        <v>9314.15</v>
      </c>
    </row>
    <row r="322" spans="1:11">
      <c r="A322" s="135"/>
      <c r="B322" s="839"/>
      <c r="C322" s="131" t="s">
        <v>18</v>
      </c>
      <c r="D322" s="132" t="s">
        <v>90</v>
      </c>
      <c r="E322" s="753">
        <f t="shared" si="80"/>
        <v>4.4999999999999998E-2</v>
      </c>
      <c r="F322" s="753">
        <f>SA!L19/2</f>
        <v>4.4999999999999998E-2</v>
      </c>
      <c r="G322" s="150"/>
      <c r="H322" s="119" t="s">
        <v>344</v>
      </c>
      <c r="I322" s="18" t="s">
        <v>345</v>
      </c>
      <c r="J322" s="133">
        <f t="shared" ref="J322:K323" si="82">E341</f>
        <v>1118.2049999999999</v>
      </c>
      <c r="K322" s="133">
        <f t="shared" si="82"/>
        <v>1118.2049999999999</v>
      </c>
    </row>
    <row r="323" spans="1:11">
      <c r="A323" s="135"/>
      <c r="B323" s="839"/>
      <c r="C323" s="131" t="s">
        <v>19</v>
      </c>
      <c r="D323" s="132" t="s">
        <v>141</v>
      </c>
      <c r="E323" s="753">
        <f t="shared" si="80"/>
        <v>0</v>
      </c>
      <c r="F323" s="753">
        <f>SA!L20/2</f>
        <v>0</v>
      </c>
      <c r="G323" s="150"/>
      <c r="H323" s="119" t="s">
        <v>346</v>
      </c>
      <c r="I323" s="18" t="s">
        <v>347</v>
      </c>
      <c r="J323" s="133">
        <f t="shared" si="82"/>
        <v>221.05</v>
      </c>
      <c r="K323" s="133">
        <f t="shared" si="82"/>
        <v>221.05</v>
      </c>
    </row>
    <row r="324" spans="1:11">
      <c r="A324" s="135"/>
      <c r="B324" s="839"/>
      <c r="C324" s="131" t="s">
        <v>142</v>
      </c>
      <c r="D324" s="132" t="s">
        <v>143</v>
      </c>
      <c r="E324" s="753">
        <f t="shared" si="80"/>
        <v>0</v>
      </c>
      <c r="F324" s="753">
        <f>SA!L21/2</f>
        <v>0</v>
      </c>
      <c r="G324" s="150"/>
      <c r="H324" s="119" t="s">
        <v>348</v>
      </c>
      <c r="I324" s="18" t="s">
        <v>349</v>
      </c>
      <c r="J324" s="133">
        <f>E379</f>
        <v>172.85000000000002</v>
      </c>
      <c r="K324" s="133">
        <f>F379</f>
        <v>172.85000000000002</v>
      </c>
    </row>
    <row r="325" spans="1:11">
      <c r="A325" s="135"/>
      <c r="B325" s="839"/>
      <c r="C325" s="131" t="s">
        <v>20</v>
      </c>
      <c r="D325" s="132" t="s">
        <v>91</v>
      </c>
      <c r="E325" s="753">
        <f t="shared" si="80"/>
        <v>26.54</v>
      </c>
      <c r="F325" s="753">
        <f>SA!L22/2</f>
        <v>26.54</v>
      </c>
      <c r="G325" s="150"/>
      <c r="H325" s="119" t="s">
        <v>350</v>
      </c>
      <c r="I325" s="18" t="s">
        <v>351</v>
      </c>
      <c r="J325" s="133">
        <f t="shared" ref="J325:K325" si="83">SUM(E382,E337:E338,E340)</f>
        <v>1.4850000000000001</v>
      </c>
      <c r="K325" s="133">
        <f t="shared" si="83"/>
        <v>1.4850000000000001</v>
      </c>
    </row>
    <row r="326" spans="1:11">
      <c r="A326" s="135"/>
      <c r="B326" s="839"/>
      <c r="C326" s="131" t="s">
        <v>21</v>
      </c>
      <c r="D326" s="132" t="s">
        <v>144</v>
      </c>
      <c r="E326" s="753">
        <f t="shared" si="80"/>
        <v>0</v>
      </c>
      <c r="F326" s="753">
        <f>SA!L23/2</f>
        <v>0</v>
      </c>
      <c r="G326" s="150"/>
      <c r="H326" s="119" t="s">
        <v>352</v>
      </c>
      <c r="I326" s="18" t="s">
        <v>353</v>
      </c>
      <c r="J326" s="133">
        <f>E380</f>
        <v>5.2249999999999996</v>
      </c>
      <c r="K326" s="133">
        <f>F380</f>
        <v>5.2249999999999996</v>
      </c>
    </row>
    <row r="327" spans="1:11">
      <c r="A327" s="135"/>
      <c r="B327" s="839"/>
      <c r="C327" s="131" t="s">
        <v>22</v>
      </c>
      <c r="D327" s="132" t="s">
        <v>92</v>
      </c>
      <c r="E327" s="753">
        <f t="shared" si="80"/>
        <v>406.26499999999999</v>
      </c>
      <c r="F327" s="753">
        <f>SA!L24/2</f>
        <v>406.26499999999999</v>
      </c>
      <c r="G327" s="150"/>
      <c r="H327" s="119" t="s">
        <v>354</v>
      </c>
      <c r="I327" s="18" t="s">
        <v>355</v>
      </c>
      <c r="J327" s="133">
        <f>E311</f>
        <v>43.71</v>
      </c>
      <c r="K327" s="133">
        <f>F311</f>
        <v>43.71</v>
      </c>
    </row>
    <row r="328" spans="1:11">
      <c r="A328" s="135"/>
      <c r="B328" s="839"/>
      <c r="C328" s="131" t="s">
        <v>23</v>
      </c>
      <c r="D328" s="132" t="s">
        <v>93</v>
      </c>
      <c r="E328" s="753">
        <f t="shared" si="80"/>
        <v>33223.894999999997</v>
      </c>
      <c r="F328" s="753">
        <f>SA!L25/2</f>
        <v>33223.894999999997</v>
      </c>
      <c r="G328" s="150"/>
      <c r="H328" s="119" t="s">
        <v>356</v>
      </c>
      <c r="I328" s="18" t="s">
        <v>357</v>
      </c>
      <c r="J328" s="133">
        <f t="shared" ref="J328:K328" si="84">SUM(E373,E370:E371,E375)</f>
        <v>68248.356087866108</v>
      </c>
      <c r="K328" s="133">
        <f t="shared" si="84"/>
        <v>120595.27608786611</v>
      </c>
    </row>
    <row r="329" spans="1:11">
      <c r="A329" s="135"/>
      <c r="B329" s="839"/>
      <c r="C329" s="131" t="s">
        <v>24</v>
      </c>
      <c r="D329" s="132" t="s">
        <v>94</v>
      </c>
      <c r="E329" s="753">
        <f t="shared" si="80"/>
        <v>45669.525000000001</v>
      </c>
      <c r="F329" s="753">
        <f>SA!L26/2</f>
        <v>45669.525000000001</v>
      </c>
      <c r="G329" s="214" t="s">
        <v>429</v>
      </c>
      <c r="H329" s="120"/>
      <c r="I329" s="63" t="s">
        <v>407</v>
      </c>
      <c r="J329" s="137"/>
      <c r="K329" s="138"/>
    </row>
    <row r="330" spans="1:11">
      <c r="A330" s="135"/>
      <c r="B330" s="839"/>
      <c r="C330" s="131" t="s">
        <v>25</v>
      </c>
      <c r="D330" s="132" t="s">
        <v>145</v>
      </c>
      <c r="E330" s="753">
        <f>F330</f>
        <v>3.26</v>
      </c>
      <c r="F330" s="753">
        <f>SA!L27/2</f>
        <v>3.26</v>
      </c>
      <c r="G330" s="150"/>
      <c r="H330" s="119" t="s">
        <v>358</v>
      </c>
      <c r="I330" s="19" t="s">
        <v>84</v>
      </c>
      <c r="J330" s="133">
        <f>E316</f>
        <v>24.119999999999997</v>
      </c>
      <c r="K330" s="133">
        <f>F316</f>
        <v>24.119999999999997</v>
      </c>
    </row>
    <row r="331" spans="1:11">
      <c r="A331" s="135"/>
      <c r="B331" s="839"/>
      <c r="C331" s="131" t="s">
        <v>146</v>
      </c>
      <c r="D331" s="132" t="s">
        <v>147</v>
      </c>
      <c r="E331" s="753">
        <f t="shared" si="80"/>
        <v>0</v>
      </c>
      <c r="F331" s="753">
        <f>SA!L28/2</f>
        <v>0</v>
      </c>
      <c r="G331" s="150"/>
      <c r="H331" s="119" t="s">
        <v>359</v>
      </c>
      <c r="I331" s="19" t="s">
        <v>90</v>
      </c>
      <c r="J331" s="133">
        <f>E322</f>
        <v>4.4999999999999998E-2</v>
      </c>
      <c r="K331" s="133">
        <f>F322</f>
        <v>4.4999999999999998E-2</v>
      </c>
    </row>
    <row r="332" spans="1:11">
      <c r="A332" s="135"/>
      <c r="B332" s="839"/>
      <c r="C332" s="131" t="s">
        <v>148</v>
      </c>
      <c r="D332" s="132" t="s">
        <v>149</v>
      </c>
      <c r="E332" s="753">
        <f t="shared" si="80"/>
        <v>0</v>
      </c>
      <c r="F332" s="753">
        <f>SA!L29/2</f>
        <v>0</v>
      </c>
      <c r="G332" s="150"/>
      <c r="H332" s="119" t="s">
        <v>360</v>
      </c>
      <c r="I332" s="19" t="s">
        <v>361</v>
      </c>
      <c r="J332" s="133">
        <f>E320</f>
        <v>4.45</v>
      </c>
      <c r="K332" s="133">
        <f>F320</f>
        <v>4.45</v>
      </c>
    </row>
    <row r="333" spans="1:11">
      <c r="A333" s="135"/>
      <c r="B333" s="839"/>
      <c r="C333" s="131" t="s">
        <v>26</v>
      </c>
      <c r="D333" s="132" t="s">
        <v>150</v>
      </c>
      <c r="E333" s="753">
        <f t="shared" si="80"/>
        <v>0</v>
      </c>
      <c r="F333" s="753">
        <f>SA!L30/2</f>
        <v>0</v>
      </c>
      <c r="G333" s="150"/>
      <c r="H333" s="119" t="s">
        <v>362</v>
      </c>
      <c r="I333" s="19" t="s">
        <v>91</v>
      </c>
      <c r="J333" s="133">
        <f>E325</f>
        <v>26.54</v>
      </c>
      <c r="K333" s="133">
        <f>F325</f>
        <v>26.54</v>
      </c>
    </row>
    <row r="334" spans="1:11">
      <c r="A334" s="135"/>
      <c r="B334" s="839"/>
      <c r="C334" s="131" t="s">
        <v>27</v>
      </c>
      <c r="D334" s="132" t="s">
        <v>95</v>
      </c>
      <c r="E334" s="753">
        <f t="shared" si="80"/>
        <v>245.19</v>
      </c>
      <c r="F334" s="753">
        <f>SA!L31/2</f>
        <v>245.19</v>
      </c>
      <c r="G334" s="150"/>
      <c r="H334" s="119" t="s">
        <v>363</v>
      </c>
      <c r="I334" s="19" t="s">
        <v>94</v>
      </c>
      <c r="J334" s="133">
        <f>E329</f>
        <v>45669.525000000001</v>
      </c>
      <c r="K334" s="133">
        <f>F329</f>
        <v>45669.525000000001</v>
      </c>
    </row>
    <row r="335" spans="1:11">
      <c r="A335" s="135"/>
      <c r="B335" s="839"/>
      <c r="C335" s="131" t="s">
        <v>28</v>
      </c>
      <c r="D335" s="132" t="s">
        <v>96</v>
      </c>
      <c r="E335" s="753">
        <f t="shared" si="80"/>
        <v>1.3</v>
      </c>
      <c r="F335" s="753">
        <f>SA!L32/2</f>
        <v>1.3</v>
      </c>
      <c r="G335" s="150"/>
      <c r="H335" s="119" t="s">
        <v>364</v>
      </c>
      <c r="I335" s="19" t="s">
        <v>87</v>
      </c>
      <c r="J335" s="133">
        <f>E319</f>
        <v>0.36</v>
      </c>
      <c r="K335" s="133">
        <f>F319</f>
        <v>0.36</v>
      </c>
    </row>
    <row r="336" spans="1:11">
      <c r="A336" s="135"/>
      <c r="B336" s="839"/>
      <c r="C336" s="131" t="s">
        <v>29</v>
      </c>
      <c r="D336" s="132" t="s">
        <v>97</v>
      </c>
      <c r="E336" s="753">
        <f t="shared" si="80"/>
        <v>0.02</v>
      </c>
      <c r="F336" s="753">
        <f>SA!L33/2</f>
        <v>0.02</v>
      </c>
      <c r="G336" s="150"/>
      <c r="H336" s="119" t="s">
        <v>365</v>
      </c>
      <c r="I336" s="19" t="s">
        <v>145</v>
      </c>
      <c r="J336" s="133">
        <f>E330</f>
        <v>3.26</v>
      </c>
      <c r="K336" s="133">
        <f>F330</f>
        <v>3.26</v>
      </c>
    </row>
    <row r="337" spans="1:11">
      <c r="A337" s="135"/>
      <c r="B337" s="839"/>
      <c r="C337" s="131" t="s">
        <v>99</v>
      </c>
      <c r="D337" s="132" t="s">
        <v>98</v>
      </c>
      <c r="E337" s="753">
        <f t="shared" si="80"/>
        <v>0.47</v>
      </c>
      <c r="F337" s="753">
        <f>SA!L34/2</f>
        <v>0.47</v>
      </c>
      <c r="G337" s="150"/>
      <c r="H337" s="119" t="s">
        <v>366</v>
      </c>
      <c r="I337" s="19" t="s">
        <v>89</v>
      </c>
      <c r="J337" s="133">
        <f>E321</f>
        <v>1.865</v>
      </c>
      <c r="K337" s="133">
        <f>F321</f>
        <v>1.865</v>
      </c>
    </row>
    <row r="338" spans="1:11">
      <c r="A338" s="135"/>
      <c r="B338" s="839"/>
      <c r="C338" s="131" t="s">
        <v>101</v>
      </c>
      <c r="D338" s="132" t="s">
        <v>100</v>
      </c>
      <c r="E338" s="753">
        <f t="shared" si="80"/>
        <v>0.26</v>
      </c>
      <c r="F338" s="753">
        <f>SA!L35/2</f>
        <v>0.26</v>
      </c>
      <c r="G338" s="150"/>
      <c r="H338" s="119" t="s">
        <v>367</v>
      </c>
      <c r="I338" s="19" t="s">
        <v>141</v>
      </c>
      <c r="J338" s="133">
        <f>E323</f>
        <v>0</v>
      </c>
      <c r="K338" s="133">
        <f>F323</f>
        <v>0</v>
      </c>
    </row>
    <row r="339" spans="1:11">
      <c r="A339" s="136"/>
      <c r="B339" s="840"/>
      <c r="C339" s="131" t="s">
        <v>30</v>
      </c>
      <c r="D339" s="132" t="s">
        <v>151</v>
      </c>
      <c r="E339" s="753">
        <f t="shared" si="80"/>
        <v>5.9550000000000001</v>
      </c>
      <c r="F339" s="753">
        <f>SA!L36/2</f>
        <v>5.9550000000000001</v>
      </c>
      <c r="G339" s="150"/>
      <c r="H339" s="119" t="s">
        <v>368</v>
      </c>
      <c r="I339" s="19" t="s">
        <v>147</v>
      </c>
      <c r="J339" s="133">
        <f>E331</f>
        <v>0</v>
      </c>
      <c r="K339" s="133">
        <f>F331</f>
        <v>0</v>
      </c>
    </row>
    <row r="340" spans="1:11">
      <c r="A340" s="128" t="s">
        <v>31</v>
      </c>
      <c r="B340" s="205" t="s">
        <v>32</v>
      </c>
      <c r="C340" s="131" t="s">
        <v>33</v>
      </c>
      <c r="D340" s="132" t="s">
        <v>102</v>
      </c>
      <c r="E340" s="753">
        <f t="shared" si="80"/>
        <v>0.75500000000000012</v>
      </c>
      <c r="F340" s="753">
        <f>SA!L37/2</f>
        <v>0.75500000000000012</v>
      </c>
      <c r="G340" s="150"/>
      <c r="H340" s="119" t="s">
        <v>369</v>
      </c>
      <c r="I340" s="19" t="s">
        <v>86</v>
      </c>
      <c r="J340" s="133">
        <f>E318</f>
        <v>14.145</v>
      </c>
      <c r="K340" s="133">
        <f>F318</f>
        <v>14.145</v>
      </c>
    </row>
    <row r="341" spans="1:11">
      <c r="A341" s="128" t="s">
        <v>34</v>
      </c>
      <c r="B341" s="838" t="s">
        <v>152</v>
      </c>
      <c r="C341" s="131" t="s">
        <v>35</v>
      </c>
      <c r="D341" s="132" t="s">
        <v>103</v>
      </c>
      <c r="E341" s="753">
        <f t="shared" si="80"/>
        <v>1118.2049999999999</v>
      </c>
      <c r="F341" s="753">
        <f>SA!L38/2</f>
        <v>1118.2049999999999</v>
      </c>
      <c r="G341" s="150"/>
      <c r="H341" s="119" t="s">
        <v>370</v>
      </c>
      <c r="I341" s="19" t="s">
        <v>143</v>
      </c>
      <c r="J341" s="133">
        <f>E324</f>
        <v>0</v>
      </c>
      <c r="K341" s="133">
        <f>F324</f>
        <v>0</v>
      </c>
    </row>
    <row r="342" spans="1:11">
      <c r="A342" s="136"/>
      <c r="B342" s="840"/>
      <c r="C342" s="131" t="s">
        <v>105</v>
      </c>
      <c r="D342" s="132" t="s">
        <v>104</v>
      </c>
      <c r="E342" s="753">
        <f>F342</f>
        <v>221.05</v>
      </c>
      <c r="F342" s="753">
        <f>SA!L39/2</f>
        <v>221.05</v>
      </c>
      <c r="G342" s="150"/>
      <c r="H342" s="119" t="s">
        <v>371</v>
      </c>
      <c r="I342" s="19" t="s">
        <v>93</v>
      </c>
      <c r="J342" s="133">
        <f>E328</f>
        <v>33223.894999999997</v>
      </c>
      <c r="K342" s="133">
        <f>F328</f>
        <v>33223.894999999997</v>
      </c>
    </row>
    <row r="343" spans="1:11">
      <c r="A343" s="128" t="s">
        <v>37</v>
      </c>
      <c r="B343" s="838" t="s">
        <v>153</v>
      </c>
      <c r="C343" s="131" t="s">
        <v>38</v>
      </c>
      <c r="D343" s="132" t="s">
        <v>106</v>
      </c>
      <c r="E343" s="753">
        <f t="shared" si="80"/>
        <v>3.145</v>
      </c>
      <c r="F343" s="753">
        <f>SA!L40/2</f>
        <v>3.145</v>
      </c>
      <c r="G343" s="150"/>
      <c r="H343" s="119" t="s">
        <v>372</v>
      </c>
      <c r="I343" s="19" t="s">
        <v>85</v>
      </c>
      <c r="J343" s="133">
        <f>E317</f>
        <v>3.64</v>
      </c>
      <c r="K343" s="133">
        <f>F317</f>
        <v>3.64</v>
      </c>
    </row>
    <row r="344" spans="1:11">
      <c r="A344" s="135"/>
      <c r="B344" s="839"/>
      <c r="C344" s="131" t="s">
        <v>39</v>
      </c>
      <c r="D344" s="132" t="s">
        <v>107</v>
      </c>
      <c r="E344" s="753">
        <f t="shared" si="80"/>
        <v>139.69499999999999</v>
      </c>
      <c r="F344" s="753">
        <f>SA!L41/2</f>
        <v>139.69499999999999</v>
      </c>
      <c r="G344" s="150"/>
      <c r="H344" s="119" t="s">
        <v>373</v>
      </c>
      <c r="I344" s="19" t="s">
        <v>374</v>
      </c>
      <c r="J344" s="133">
        <f t="shared" ref="J344:K346" si="85">E313</f>
        <v>6.68</v>
      </c>
      <c r="K344" s="133">
        <f t="shared" si="85"/>
        <v>6.68</v>
      </c>
    </row>
    <row r="345" spans="1:11">
      <c r="A345" s="135"/>
      <c r="B345" s="839"/>
      <c r="C345" s="131" t="s">
        <v>40</v>
      </c>
      <c r="D345" s="132" t="s">
        <v>108</v>
      </c>
      <c r="E345" s="753">
        <f t="shared" si="80"/>
        <v>46.66</v>
      </c>
      <c r="F345" s="753">
        <f>SA!L42/2</f>
        <v>46.66</v>
      </c>
      <c r="G345" s="150"/>
      <c r="H345" s="119" t="s">
        <v>375</v>
      </c>
      <c r="I345" s="19" t="s">
        <v>82</v>
      </c>
      <c r="J345" s="133">
        <f t="shared" si="85"/>
        <v>359.18</v>
      </c>
      <c r="K345" s="133">
        <f t="shared" si="85"/>
        <v>359.18</v>
      </c>
    </row>
    <row r="346" spans="1:11">
      <c r="A346" s="136"/>
      <c r="B346" s="840"/>
      <c r="C346" s="131" t="s">
        <v>41</v>
      </c>
      <c r="D346" s="132" t="s">
        <v>109</v>
      </c>
      <c r="E346" s="753">
        <f t="shared" si="80"/>
        <v>13.2</v>
      </c>
      <c r="F346" s="753">
        <f>SA!L43/2</f>
        <v>13.2</v>
      </c>
      <c r="G346" s="150"/>
      <c r="H346" s="119" t="s">
        <v>376</v>
      </c>
      <c r="I346" s="19" t="s">
        <v>83</v>
      </c>
      <c r="J346" s="133">
        <f t="shared" si="85"/>
        <v>13837.089999999998</v>
      </c>
      <c r="K346" s="133">
        <f t="shared" si="85"/>
        <v>13837.089999999998</v>
      </c>
    </row>
    <row r="347" spans="1:11">
      <c r="A347" s="128" t="s">
        <v>42</v>
      </c>
      <c r="B347" s="838" t="s">
        <v>154</v>
      </c>
      <c r="C347" s="131" t="s">
        <v>43</v>
      </c>
      <c r="D347" s="132" t="s">
        <v>110</v>
      </c>
      <c r="E347" s="753">
        <f t="shared" si="80"/>
        <v>10.870000000000001</v>
      </c>
      <c r="F347" s="753">
        <f>SA!L44/2</f>
        <v>10.870000000000001</v>
      </c>
      <c r="G347" s="150"/>
      <c r="H347" s="119" t="s">
        <v>377</v>
      </c>
      <c r="I347" s="19" t="s">
        <v>378</v>
      </c>
      <c r="J347" s="133">
        <f>E374</f>
        <v>9466.8599999999988</v>
      </c>
      <c r="K347" s="133">
        <f>F374</f>
        <v>9466.8599999999988</v>
      </c>
    </row>
    <row r="348" spans="1:11">
      <c r="A348" s="135"/>
      <c r="B348" s="839"/>
      <c r="C348" s="131" t="s">
        <v>44</v>
      </c>
      <c r="D348" s="132" t="s">
        <v>111</v>
      </c>
      <c r="E348" s="753">
        <f t="shared" si="80"/>
        <v>27.150000000000002</v>
      </c>
      <c r="F348" s="753">
        <f>SA!L45/2</f>
        <v>27.150000000000002</v>
      </c>
      <c r="G348" s="214" t="str">
        <f>G329</f>
        <v>SA</v>
      </c>
      <c r="H348" s="119" t="s">
        <v>379</v>
      </c>
      <c r="I348" s="19" t="s">
        <v>176</v>
      </c>
      <c r="J348" s="133">
        <f>E348</f>
        <v>27.150000000000002</v>
      </c>
      <c r="K348" s="133">
        <f>F348</f>
        <v>27.150000000000002</v>
      </c>
    </row>
    <row r="349" spans="1:11">
      <c r="A349" s="136"/>
      <c r="B349" s="840"/>
      <c r="C349" s="131" t="s">
        <v>45</v>
      </c>
      <c r="D349" s="132" t="s">
        <v>155</v>
      </c>
      <c r="E349" s="753">
        <f t="shared" si="80"/>
        <v>151.85999999999999</v>
      </c>
      <c r="F349" s="753">
        <f>SA!L46/2</f>
        <v>151.85999999999999</v>
      </c>
      <c r="G349" s="150"/>
      <c r="H349" s="119" t="s">
        <v>380</v>
      </c>
      <c r="I349" s="19" t="s">
        <v>381</v>
      </c>
      <c r="J349" s="133">
        <f>E362</f>
        <v>0</v>
      </c>
      <c r="K349" s="133">
        <f>F362</f>
        <v>0</v>
      </c>
    </row>
    <row r="350" spans="1:11">
      <c r="A350" s="128" t="s">
        <v>46</v>
      </c>
      <c r="B350" s="838" t="s">
        <v>156</v>
      </c>
      <c r="C350" s="131" t="s">
        <v>47</v>
      </c>
      <c r="D350" s="132" t="s">
        <v>112</v>
      </c>
      <c r="E350" s="753">
        <f t="shared" si="80"/>
        <v>633.35500000000002</v>
      </c>
      <c r="F350" s="753">
        <f>SA!L47/2</f>
        <v>633.35500000000002</v>
      </c>
      <c r="G350" s="150"/>
      <c r="H350" s="119" t="s">
        <v>382</v>
      </c>
      <c r="I350" s="19" t="s">
        <v>383</v>
      </c>
      <c r="J350" s="133">
        <f>E358</f>
        <v>0</v>
      </c>
      <c r="K350" s="133">
        <f>F358</f>
        <v>0</v>
      </c>
    </row>
    <row r="351" spans="1:11">
      <c r="A351" s="135"/>
      <c r="B351" s="839"/>
      <c r="C351" s="131" t="s">
        <v>48</v>
      </c>
      <c r="D351" s="132" t="s">
        <v>157</v>
      </c>
      <c r="E351" s="753">
        <f t="shared" si="80"/>
        <v>1951.385</v>
      </c>
      <c r="F351" s="753">
        <f>SA!L48/2</f>
        <v>1951.385</v>
      </c>
      <c r="G351" s="150"/>
      <c r="H351" s="119" t="s">
        <v>384</v>
      </c>
      <c r="I351" s="19" t="s">
        <v>106</v>
      </c>
      <c r="J351" s="133">
        <f>E343</f>
        <v>3.145</v>
      </c>
      <c r="K351" s="133">
        <f>F343</f>
        <v>3.145</v>
      </c>
    </row>
    <row r="352" spans="1:11">
      <c r="A352" s="136"/>
      <c r="B352" s="840"/>
      <c r="C352" s="131" t="s">
        <v>49</v>
      </c>
      <c r="D352" s="132" t="s">
        <v>158</v>
      </c>
      <c r="E352" s="753">
        <f t="shared" si="80"/>
        <v>9314.15</v>
      </c>
      <c r="F352" s="753">
        <f>SA!L49/2</f>
        <v>9314.15</v>
      </c>
      <c r="G352" s="150"/>
      <c r="H352" s="119" t="s">
        <v>385</v>
      </c>
      <c r="I352" s="19" t="s">
        <v>108</v>
      </c>
      <c r="J352" s="133">
        <f>E345</f>
        <v>46.66</v>
      </c>
      <c r="K352" s="133">
        <f>F345</f>
        <v>46.66</v>
      </c>
    </row>
    <row r="353" spans="1:11">
      <c r="A353" s="128" t="s">
        <v>50</v>
      </c>
      <c r="B353" s="838" t="s">
        <v>159</v>
      </c>
      <c r="C353" s="131" t="s">
        <v>51</v>
      </c>
      <c r="D353" s="132" t="s">
        <v>113</v>
      </c>
      <c r="E353" s="163">
        <f>'Gap data 1'!$F51*'Gap data 2'!F$6/1000000</f>
        <v>13688.137223968048</v>
      </c>
      <c r="F353" s="163">
        <f>'Gap data 1'!$F51*'Gap data 2'!F$7/1000000</f>
        <v>13748.630854896192</v>
      </c>
      <c r="G353" s="150"/>
      <c r="H353" s="119" t="s">
        <v>386</v>
      </c>
      <c r="I353" s="19" t="s">
        <v>107</v>
      </c>
      <c r="J353" s="133">
        <f>E344</f>
        <v>139.69499999999999</v>
      </c>
      <c r="K353" s="133">
        <f>F344</f>
        <v>139.69499999999999</v>
      </c>
    </row>
    <row r="354" spans="1:11">
      <c r="A354" s="135"/>
      <c r="B354" s="839"/>
      <c r="C354" s="131" t="s">
        <v>115</v>
      </c>
      <c r="D354" s="132" t="s">
        <v>114</v>
      </c>
      <c r="E354" s="163">
        <f>'Gap data 1'!$F52*'Gap data 2'!F$6/1000000</f>
        <v>22291.145828616827</v>
      </c>
      <c r="F354" s="163">
        <f>'Gap data 1'!$F52*'Gap data 2'!F$7/1000000</f>
        <v>22389.659770043465</v>
      </c>
      <c r="G354" s="150"/>
      <c r="H354" s="119" t="s">
        <v>387</v>
      </c>
      <c r="I354" s="19" t="s">
        <v>388</v>
      </c>
      <c r="J354" s="133">
        <f t="shared" ref="J354:K355" si="86">E360</f>
        <v>0</v>
      </c>
      <c r="K354" s="133">
        <f t="shared" si="86"/>
        <v>0</v>
      </c>
    </row>
    <row r="355" spans="1:11">
      <c r="A355" s="135"/>
      <c r="B355" s="839"/>
      <c r="C355" s="131" t="s">
        <v>52</v>
      </c>
      <c r="D355" s="132" t="s">
        <v>116</v>
      </c>
      <c r="E355" s="753">
        <f t="shared" ref="E355:E372" si="87">F355</f>
        <v>0</v>
      </c>
      <c r="F355" s="753">
        <f>SA!L52/2</f>
        <v>0</v>
      </c>
      <c r="G355" s="150"/>
      <c r="H355" s="119" t="s">
        <v>389</v>
      </c>
      <c r="I355" s="19" t="s">
        <v>390</v>
      </c>
      <c r="J355" s="133">
        <f t="shared" si="86"/>
        <v>0</v>
      </c>
      <c r="K355" s="133">
        <f t="shared" si="86"/>
        <v>0</v>
      </c>
    </row>
    <row r="356" spans="1:11">
      <c r="A356" s="136"/>
      <c r="B356" s="840"/>
      <c r="C356" s="131" t="s">
        <v>118</v>
      </c>
      <c r="D356" s="132" t="s">
        <v>117</v>
      </c>
      <c r="E356" s="753">
        <f t="shared" si="87"/>
        <v>0</v>
      </c>
      <c r="F356" s="753">
        <f>SA!L53/2</f>
        <v>0</v>
      </c>
      <c r="G356" s="150"/>
      <c r="H356" s="119" t="s">
        <v>391</v>
      </c>
      <c r="I356" s="19" t="s">
        <v>392</v>
      </c>
      <c r="J356" s="133">
        <f>E359</f>
        <v>0</v>
      </c>
      <c r="K356" s="133">
        <f>F359</f>
        <v>0</v>
      </c>
    </row>
    <row r="357" spans="1:11" ht="25.5">
      <c r="A357" s="128" t="s">
        <v>53</v>
      </c>
      <c r="B357" s="838" t="s">
        <v>54</v>
      </c>
      <c r="C357" s="131" t="s">
        <v>55</v>
      </c>
      <c r="D357" s="145" t="s">
        <v>160</v>
      </c>
      <c r="E357" s="753">
        <f t="shared" si="87"/>
        <v>13.46</v>
      </c>
      <c r="F357" s="753">
        <f>SA!L54/2</f>
        <v>13.46</v>
      </c>
      <c r="G357" s="150"/>
      <c r="H357" s="120"/>
      <c r="I357" s="63" t="s">
        <v>405</v>
      </c>
      <c r="J357" s="137"/>
      <c r="K357" s="138"/>
    </row>
    <row r="358" spans="1:11">
      <c r="A358" s="135"/>
      <c r="B358" s="839"/>
      <c r="C358" s="131" t="s">
        <v>56</v>
      </c>
      <c r="D358" s="132" t="s">
        <v>161</v>
      </c>
      <c r="E358" s="753">
        <f t="shared" si="87"/>
        <v>0</v>
      </c>
      <c r="F358" s="753">
        <f>SA!L55/2</f>
        <v>0</v>
      </c>
      <c r="G358" s="150"/>
      <c r="H358" s="119" t="s">
        <v>393</v>
      </c>
      <c r="I358" s="19" t="s">
        <v>394</v>
      </c>
      <c r="J358" s="163">
        <f>'Gap data 2'!$B$17*'Gap data 2'!F6</f>
        <v>482905.9309110808</v>
      </c>
      <c r="K358" s="163">
        <f>'Gap data 2'!$B$17*'Gap data 2'!F7</f>
        <v>485040.09516437264</v>
      </c>
    </row>
    <row r="359" spans="1:11">
      <c r="A359" s="135"/>
      <c r="B359" s="839"/>
      <c r="C359" s="131" t="s">
        <v>57</v>
      </c>
      <c r="D359" s="132" t="s">
        <v>162</v>
      </c>
      <c r="E359" s="753">
        <f t="shared" si="87"/>
        <v>0</v>
      </c>
      <c r="F359" s="753">
        <f>SA!L56/2</f>
        <v>0</v>
      </c>
      <c r="G359" s="150"/>
      <c r="H359" s="119" t="s">
        <v>395</v>
      </c>
      <c r="I359" s="19" t="s">
        <v>396</v>
      </c>
      <c r="J359" s="221">
        <v>0</v>
      </c>
      <c r="K359" s="221">
        <v>0</v>
      </c>
    </row>
    <row r="360" spans="1:11">
      <c r="A360" s="135"/>
      <c r="B360" s="839"/>
      <c r="C360" s="131" t="s">
        <v>120</v>
      </c>
      <c r="D360" s="132" t="s">
        <v>119</v>
      </c>
      <c r="E360" s="753">
        <f t="shared" si="87"/>
        <v>0</v>
      </c>
      <c r="F360" s="753">
        <f>SA!L57/2</f>
        <v>0</v>
      </c>
      <c r="G360" s="150"/>
      <c r="H360" s="72"/>
      <c r="I360" s="146" t="s">
        <v>408</v>
      </c>
      <c r="J360" s="147"/>
      <c r="K360" s="148"/>
    </row>
    <row r="361" spans="1:11">
      <c r="A361" s="135"/>
      <c r="B361" s="839"/>
      <c r="C361" s="131" t="s">
        <v>122</v>
      </c>
      <c r="D361" s="132" t="s">
        <v>121</v>
      </c>
      <c r="E361" s="753">
        <f t="shared" si="87"/>
        <v>0</v>
      </c>
      <c r="F361" s="753">
        <f>SA!L58/2</f>
        <v>0</v>
      </c>
      <c r="G361" s="150"/>
      <c r="H361" s="121">
        <v>1</v>
      </c>
      <c r="I361" s="132" t="s">
        <v>397</v>
      </c>
      <c r="J361" s="80">
        <f>SUM(E326:E327,E332:E333)</f>
        <v>406.26499999999999</v>
      </c>
      <c r="K361" s="80">
        <f>SUM(F326:F327,F332:F333)</f>
        <v>406.26499999999999</v>
      </c>
    </row>
    <row r="362" spans="1:11">
      <c r="A362" s="135"/>
      <c r="B362" s="839"/>
      <c r="C362" s="131" t="s">
        <v>124</v>
      </c>
      <c r="D362" s="132" t="s">
        <v>123</v>
      </c>
      <c r="E362" s="753">
        <f t="shared" si="87"/>
        <v>0</v>
      </c>
      <c r="F362" s="753">
        <f>SA!L59/2</f>
        <v>0</v>
      </c>
      <c r="G362" s="150"/>
      <c r="H362" s="121">
        <v>2</v>
      </c>
      <c r="I362" s="132" t="s">
        <v>398</v>
      </c>
      <c r="J362" s="80">
        <f>SUM(E334:E336,E339)</f>
        <v>252.46500000000003</v>
      </c>
      <c r="K362" s="80">
        <f>SUM(F334:F336,F339)</f>
        <v>252.46500000000003</v>
      </c>
    </row>
    <row r="363" spans="1:11">
      <c r="A363" s="135"/>
      <c r="B363" s="839"/>
      <c r="C363" s="131" t="s">
        <v>58</v>
      </c>
      <c r="D363" s="132" t="s">
        <v>136</v>
      </c>
      <c r="E363" s="753">
        <f t="shared" si="87"/>
        <v>2.5000000000000001E-2</v>
      </c>
      <c r="F363" s="753">
        <f>SA!L60/2</f>
        <v>2.5000000000000001E-2</v>
      </c>
      <c r="G363" s="150"/>
      <c r="H363" s="121">
        <v>3</v>
      </c>
      <c r="I363" s="132" t="s">
        <v>323</v>
      </c>
      <c r="J363" s="80">
        <f>SUM(E363:E366)</f>
        <v>1215.5350000000001</v>
      </c>
      <c r="K363" s="80">
        <f>SUM(F363:F366)</f>
        <v>1215.5350000000001</v>
      </c>
    </row>
    <row r="364" spans="1:11">
      <c r="A364" s="135"/>
      <c r="B364" s="839"/>
      <c r="C364" s="131" t="s">
        <v>59</v>
      </c>
      <c r="D364" s="132" t="s">
        <v>125</v>
      </c>
      <c r="E364" s="753">
        <f t="shared" si="87"/>
        <v>1211.78</v>
      </c>
      <c r="F364" s="753">
        <f>SA!L61/2</f>
        <v>1211.78</v>
      </c>
      <c r="G364" s="150"/>
      <c r="H364" s="121">
        <v>4</v>
      </c>
      <c r="I364" s="132" t="s">
        <v>159</v>
      </c>
      <c r="J364" s="80">
        <f t="shared" ref="J364" si="88">SUM(E353:E356)</f>
        <v>35979.283052584877</v>
      </c>
      <c r="K364" s="80">
        <f>SUM(F353:F356)</f>
        <v>36138.290624939655</v>
      </c>
    </row>
    <row r="365" spans="1:11" ht="25.5">
      <c r="A365" s="135"/>
      <c r="B365" s="839"/>
      <c r="C365" s="131" t="s">
        <v>60</v>
      </c>
      <c r="D365" s="145" t="s">
        <v>163</v>
      </c>
      <c r="E365" s="753">
        <f t="shared" si="87"/>
        <v>3.63</v>
      </c>
      <c r="F365" s="753">
        <f>SA!L62/2</f>
        <v>3.63</v>
      </c>
      <c r="G365" s="150"/>
      <c r="H365" s="121">
        <v>5</v>
      </c>
      <c r="I365" s="142" t="s">
        <v>399</v>
      </c>
      <c r="J365" s="80">
        <f>E367</f>
        <v>74.050000000000011</v>
      </c>
      <c r="K365" s="80">
        <f>F367</f>
        <v>74.050000000000011</v>
      </c>
    </row>
    <row r="366" spans="1:11">
      <c r="A366" s="136"/>
      <c r="B366" s="840"/>
      <c r="C366" s="131" t="s">
        <v>61</v>
      </c>
      <c r="D366" s="132" t="s">
        <v>126</v>
      </c>
      <c r="E366" s="753">
        <f t="shared" si="87"/>
        <v>0.1</v>
      </c>
      <c r="F366" s="753">
        <f>SA!L63/2</f>
        <v>0.1</v>
      </c>
      <c r="G366" s="150"/>
      <c r="H366" s="58">
        <v>6</v>
      </c>
      <c r="I366" s="248" t="s">
        <v>468</v>
      </c>
      <c r="J366" s="425">
        <f t="shared" ref="J366" si="89">E368</f>
        <v>94997.965000000011</v>
      </c>
      <c r="K366" s="425">
        <f t="shared" ref="K366" si="90">F368</f>
        <v>94997.965000000011</v>
      </c>
    </row>
    <row r="367" spans="1:11">
      <c r="A367" s="128" t="s">
        <v>62</v>
      </c>
      <c r="B367" s="838" t="s">
        <v>164</v>
      </c>
      <c r="C367" s="131" t="s">
        <v>63</v>
      </c>
      <c r="D367" s="132" t="s">
        <v>165</v>
      </c>
      <c r="E367" s="753">
        <f t="shared" si="87"/>
        <v>74.050000000000011</v>
      </c>
      <c r="F367" s="753">
        <f>SA!L64/2</f>
        <v>74.050000000000011</v>
      </c>
      <c r="H367" s="58">
        <v>7</v>
      </c>
      <c r="I367" s="248" t="s">
        <v>469</v>
      </c>
      <c r="J367" s="425">
        <f>SUM(E369,E372)</f>
        <v>265.77499999999998</v>
      </c>
      <c r="K367" s="425">
        <f>SUM(F369,F372)</f>
        <v>265.77499999999998</v>
      </c>
    </row>
    <row r="368" spans="1:11">
      <c r="A368" s="135"/>
      <c r="B368" s="839"/>
      <c r="C368" s="131" t="s">
        <v>64</v>
      </c>
      <c r="D368" s="132" t="s">
        <v>127</v>
      </c>
      <c r="E368" s="753">
        <f t="shared" si="87"/>
        <v>94997.965000000011</v>
      </c>
      <c r="F368" s="753">
        <f>SA!L65/2</f>
        <v>94997.965000000011</v>
      </c>
      <c r="G368" s="214" t="str">
        <f>G348</f>
        <v>SA</v>
      </c>
      <c r="H368" s="121">
        <v>8</v>
      </c>
      <c r="I368" s="132" t="s">
        <v>133</v>
      </c>
      <c r="J368" s="80">
        <f>E381</f>
        <v>14731.142512596158</v>
      </c>
      <c r="K368" s="80">
        <f>F381</f>
        <v>43936.718569737743</v>
      </c>
    </row>
    <row r="369" spans="1:11">
      <c r="A369" s="135"/>
      <c r="B369" s="839"/>
      <c r="C369" s="131" t="s">
        <v>65</v>
      </c>
      <c r="D369" s="132" t="s">
        <v>166</v>
      </c>
      <c r="E369" s="753">
        <f t="shared" si="87"/>
        <v>0.89500000000000002</v>
      </c>
      <c r="F369" s="753">
        <f>SA!L66/2</f>
        <v>0.89500000000000002</v>
      </c>
      <c r="G369" s="36"/>
      <c r="H369" s="181"/>
      <c r="I369" s="181"/>
      <c r="J369" s="181"/>
      <c r="K369" s="181"/>
    </row>
    <row r="370" spans="1:11">
      <c r="A370" s="135"/>
      <c r="B370" s="839"/>
      <c r="C370" s="131" t="s">
        <v>66</v>
      </c>
      <c r="D370" s="132" t="s">
        <v>173</v>
      </c>
      <c r="E370" s="753">
        <f t="shared" si="87"/>
        <v>297.86500000000001</v>
      </c>
      <c r="F370" s="753">
        <f>SA!L67/2</f>
        <v>297.86500000000001</v>
      </c>
      <c r="G370" s="36"/>
      <c r="H370" s="181"/>
      <c r="I370" s="181"/>
      <c r="J370" s="181"/>
      <c r="K370" s="181"/>
    </row>
    <row r="371" spans="1:11">
      <c r="A371" s="135"/>
      <c r="B371" s="839"/>
      <c r="C371" s="131" t="s">
        <v>67</v>
      </c>
      <c r="D371" s="132" t="s">
        <v>174</v>
      </c>
      <c r="E371" s="753">
        <f t="shared" si="87"/>
        <v>84.064999999999998</v>
      </c>
      <c r="F371" s="753">
        <f>SA!L68/2</f>
        <v>84.064999999999998</v>
      </c>
      <c r="G371" s="36"/>
      <c r="H371" s="181"/>
      <c r="I371" s="181"/>
      <c r="J371" s="181"/>
      <c r="K371" s="181"/>
    </row>
    <row r="372" spans="1:11">
      <c r="A372" s="135"/>
      <c r="B372" s="839"/>
      <c r="C372" s="131" t="s">
        <v>68</v>
      </c>
      <c r="D372" s="132" t="s">
        <v>175</v>
      </c>
      <c r="E372" s="753">
        <f t="shared" si="87"/>
        <v>264.88</v>
      </c>
      <c r="F372" s="753">
        <f>SA!L69/2</f>
        <v>264.88</v>
      </c>
      <c r="G372" s="36"/>
      <c r="H372" s="181"/>
      <c r="I372" s="181"/>
      <c r="J372" s="181"/>
      <c r="K372" s="181"/>
    </row>
    <row r="373" spans="1:11">
      <c r="A373" s="135"/>
      <c r="B373" s="839"/>
      <c r="C373" s="131" t="s">
        <v>128</v>
      </c>
      <c r="D373" s="132" t="s">
        <v>167</v>
      </c>
      <c r="E373" s="163">
        <f>IF(ISNUMBER(SA!K70),SA!K70)+'Gap data 2'!$F$32</f>
        <v>67727.636087866107</v>
      </c>
      <c r="F373" s="163">
        <f>IF(ISNUMBER(SA!L70),SA!L70)+'Gap data 2'!$F$32</f>
        <v>120074.55608786611</v>
      </c>
      <c r="G373" s="36"/>
      <c r="H373" s="181"/>
      <c r="I373" s="181"/>
      <c r="J373" s="181"/>
      <c r="K373" s="181"/>
    </row>
    <row r="374" spans="1:11">
      <c r="A374" s="135"/>
      <c r="B374" s="839"/>
      <c r="C374" s="131" t="s">
        <v>69</v>
      </c>
      <c r="D374" s="132" t="s">
        <v>129</v>
      </c>
      <c r="E374" s="753">
        <f t="shared" ref="E374:E380" si="91">F374</f>
        <v>9466.8599999999988</v>
      </c>
      <c r="F374" s="753">
        <f>SA!L71/2</f>
        <v>9466.8599999999988</v>
      </c>
      <c r="G374" s="36"/>
      <c r="H374" s="181"/>
      <c r="I374" s="181"/>
      <c r="J374" s="181"/>
      <c r="K374" s="181"/>
    </row>
    <row r="375" spans="1:11">
      <c r="A375" s="136"/>
      <c r="B375" s="840"/>
      <c r="C375" s="131" t="s">
        <v>70</v>
      </c>
      <c r="D375" s="132" t="s">
        <v>168</v>
      </c>
      <c r="E375" s="753">
        <f t="shared" si="91"/>
        <v>138.79</v>
      </c>
      <c r="F375" s="753">
        <f>SA!L72/2</f>
        <v>138.79</v>
      </c>
      <c r="G375" s="36"/>
      <c r="H375" s="181"/>
      <c r="I375" s="181"/>
      <c r="J375" s="181"/>
      <c r="K375" s="181"/>
    </row>
    <row r="376" spans="1:11">
      <c r="A376" s="128" t="s">
        <v>71</v>
      </c>
      <c r="B376" s="838" t="s">
        <v>169</v>
      </c>
      <c r="C376" s="131" t="s">
        <v>72</v>
      </c>
      <c r="D376" s="132" t="s">
        <v>170</v>
      </c>
      <c r="E376" s="753">
        <f t="shared" si="91"/>
        <v>2887.5249999999996</v>
      </c>
      <c r="F376" s="753">
        <f>SA!L73/2</f>
        <v>2887.5249999999996</v>
      </c>
      <c r="G376" s="36"/>
      <c r="H376" s="181"/>
      <c r="I376" s="181"/>
      <c r="J376" s="181"/>
      <c r="K376" s="181"/>
    </row>
    <row r="377" spans="1:11">
      <c r="A377" s="135"/>
      <c r="B377" s="839"/>
      <c r="C377" s="131" t="s">
        <v>73</v>
      </c>
      <c r="D377" s="132" t="s">
        <v>130</v>
      </c>
      <c r="E377" s="753">
        <f t="shared" si="91"/>
        <v>186.13499999999999</v>
      </c>
      <c r="F377" s="753">
        <f>SA!L74/2</f>
        <v>186.13499999999999</v>
      </c>
      <c r="G377" s="36"/>
      <c r="H377" s="181"/>
      <c r="I377" s="181"/>
      <c r="J377" s="181"/>
      <c r="K377" s="181"/>
    </row>
    <row r="378" spans="1:11">
      <c r="A378" s="136"/>
      <c r="B378" s="840"/>
      <c r="C378" s="131" t="s">
        <v>74</v>
      </c>
      <c r="D378" s="132" t="s">
        <v>131</v>
      </c>
      <c r="E378" s="753">
        <f t="shared" si="91"/>
        <v>2.6850000000000001</v>
      </c>
      <c r="F378" s="753">
        <f>SA!L75/2</f>
        <v>2.6850000000000001</v>
      </c>
      <c r="G378" s="36"/>
      <c r="H378" s="181"/>
      <c r="I378" s="181"/>
      <c r="J378" s="181"/>
      <c r="K378" s="181"/>
    </row>
    <row r="379" spans="1:11" ht="38.25">
      <c r="A379" s="128" t="s">
        <v>75</v>
      </c>
      <c r="B379" s="838" t="s">
        <v>76</v>
      </c>
      <c r="C379" s="131" t="s">
        <v>77</v>
      </c>
      <c r="D379" s="145" t="s">
        <v>171</v>
      </c>
      <c r="E379" s="753">
        <f t="shared" si="91"/>
        <v>172.85000000000002</v>
      </c>
      <c r="F379" s="753">
        <f>SA!L76/2</f>
        <v>172.85000000000002</v>
      </c>
      <c r="G379" s="36"/>
      <c r="H379" s="181"/>
      <c r="I379" s="181"/>
      <c r="J379" s="181"/>
      <c r="K379" s="181"/>
    </row>
    <row r="380" spans="1:11">
      <c r="A380" s="135"/>
      <c r="B380" s="839"/>
      <c r="C380" s="131" t="s">
        <v>78</v>
      </c>
      <c r="D380" s="132" t="s">
        <v>132</v>
      </c>
      <c r="E380" s="753">
        <f t="shared" si="91"/>
        <v>5.2249999999999996</v>
      </c>
      <c r="F380" s="753">
        <f>SA!L77/2</f>
        <v>5.2249999999999996</v>
      </c>
      <c r="G380" s="36"/>
      <c r="H380" s="181"/>
      <c r="I380" s="181"/>
      <c r="J380" s="181"/>
      <c r="K380" s="181"/>
    </row>
    <row r="381" spans="1:11">
      <c r="A381" s="135"/>
      <c r="B381" s="839"/>
      <c r="C381" s="131" t="s">
        <v>134</v>
      </c>
      <c r="D381" s="132" t="s">
        <v>133</v>
      </c>
      <c r="E381" s="163">
        <f>'Gap data 2'!$F$29</f>
        <v>14731.142512596158</v>
      </c>
      <c r="F381" s="163">
        <f>'Gap data 2'!H29</f>
        <v>43936.718569737743</v>
      </c>
      <c r="G381" s="36"/>
      <c r="H381" s="181"/>
      <c r="I381" s="181"/>
      <c r="J381" s="181"/>
      <c r="K381" s="181"/>
    </row>
    <row r="382" spans="1:11">
      <c r="A382" s="136"/>
      <c r="B382" s="840"/>
      <c r="C382" s="131" t="s">
        <v>172</v>
      </c>
      <c r="D382" s="132" t="s">
        <v>135</v>
      </c>
      <c r="E382" s="753">
        <f t="shared" ref="E382" si="92">F382</f>
        <v>0</v>
      </c>
      <c r="F382" s="753">
        <f>SA!L79/2</f>
        <v>0</v>
      </c>
      <c r="G382" s="36"/>
      <c r="H382" s="181"/>
      <c r="I382" s="181"/>
      <c r="J382" s="181"/>
      <c r="K382" s="181"/>
    </row>
    <row r="383" spans="1:11">
      <c r="G383" s="36"/>
      <c r="H383" s="181"/>
      <c r="I383" s="181"/>
      <c r="J383" s="181"/>
      <c r="K383" s="181"/>
    </row>
    <row r="384" spans="1:11" s="213" customFormat="1" ht="15.75">
      <c r="A384" s="213" t="s">
        <v>667</v>
      </c>
      <c r="H384" s="213" t="str">
        <f>A384</f>
        <v>Adjusted Tas data</v>
      </c>
    </row>
    <row r="385" spans="1:11">
      <c r="G385" s="127"/>
    </row>
    <row r="386" spans="1:11">
      <c r="A386" s="128" t="s">
        <v>3</v>
      </c>
      <c r="B386" s="838" t="s">
        <v>137</v>
      </c>
      <c r="C386" s="131" t="s">
        <v>4</v>
      </c>
      <c r="D386" s="132" t="s">
        <v>79</v>
      </c>
      <c r="E386" s="753" t="str">
        <f>F386</f>
        <v/>
      </c>
      <c r="F386" s="753" t="str">
        <f>IFERROR(TAS!L8/2,"")</f>
        <v/>
      </c>
      <c r="G386" s="150"/>
      <c r="H386" s="119" t="s">
        <v>324</v>
      </c>
      <c r="I386" s="18" t="s">
        <v>325</v>
      </c>
      <c r="J386" s="133">
        <f>E451</f>
        <v>4</v>
      </c>
      <c r="K386" s="133">
        <f>F451</f>
        <v>4</v>
      </c>
    </row>
    <row r="387" spans="1:11">
      <c r="A387" s="135"/>
      <c r="B387" s="839"/>
      <c r="C387" s="131" t="s">
        <v>138</v>
      </c>
      <c r="D387" s="132" t="s">
        <v>139</v>
      </c>
      <c r="E387" s="753" t="str">
        <f t="shared" ref="E387:E427" si="93">F387</f>
        <v/>
      </c>
      <c r="F387" s="753" t="str">
        <f>IFERROR(TAS!L9/2,"")</f>
        <v/>
      </c>
      <c r="G387" s="150"/>
      <c r="H387" s="119" t="s">
        <v>326</v>
      </c>
      <c r="I387" s="18" t="s">
        <v>327</v>
      </c>
      <c r="J387" s="133" t="str">
        <f>E453</f>
        <v/>
      </c>
      <c r="K387" s="133" t="str">
        <f>F453</f>
        <v/>
      </c>
    </row>
    <row r="388" spans="1:11">
      <c r="A388" s="136"/>
      <c r="B388" s="840"/>
      <c r="C388" s="131" t="s">
        <v>81</v>
      </c>
      <c r="D388" s="132" t="s">
        <v>80</v>
      </c>
      <c r="E388" s="753" t="str">
        <f t="shared" si="93"/>
        <v/>
      </c>
      <c r="F388" s="753" t="str">
        <f>IFERROR(TAS!L10/2,"")</f>
        <v/>
      </c>
      <c r="G388" s="150"/>
      <c r="H388" s="119" t="s">
        <v>328</v>
      </c>
      <c r="I388" s="18" t="s">
        <v>130</v>
      </c>
      <c r="J388" s="133">
        <f>E452</f>
        <v>7.0619999999999994</v>
      </c>
      <c r="K388" s="133">
        <f>F452</f>
        <v>7.0619999999999994</v>
      </c>
    </row>
    <row r="389" spans="1:11">
      <c r="A389" s="121" t="s">
        <v>5</v>
      </c>
      <c r="B389" s="129" t="s">
        <v>6</v>
      </c>
      <c r="C389" s="131" t="s">
        <v>7</v>
      </c>
      <c r="D389" s="132" t="s">
        <v>82</v>
      </c>
      <c r="E389" s="753">
        <f t="shared" si="93"/>
        <v>15.763</v>
      </c>
      <c r="F389" s="753">
        <f>IFERROR(TAS!L11/2,"")</f>
        <v>15.763</v>
      </c>
      <c r="G389" s="150"/>
      <c r="H389" s="119" t="s">
        <v>329</v>
      </c>
      <c r="I389" s="18" t="s">
        <v>330</v>
      </c>
      <c r="J389" s="133" t="str">
        <f>E422</f>
        <v/>
      </c>
      <c r="K389" s="133" t="str">
        <f>F422</f>
        <v/>
      </c>
    </row>
    <row r="390" spans="1:11">
      <c r="A390" s="121" t="s">
        <v>8</v>
      </c>
      <c r="B390" s="129" t="s">
        <v>140</v>
      </c>
      <c r="C390" s="131" t="s">
        <v>9</v>
      </c>
      <c r="D390" s="132" t="s">
        <v>83</v>
      </c>
      <c r="E390" s="753">
        <f t="shared" si="93"/>
        <v>0.3</v>
      </c>
      <c r="F390" s="753">
        <f>IFERROR(TAS!L12/2,"")</f>
        <v>0.3</v>
      </c>
      <c r="G390" s="150"/>
      <c r="H390" s="119" t="s">
        <v>331</v>
      </c>
      <c r="I390" s="18" t="s">
        <v>332</v>
      </c>
      <c r="J390" s="133" t="str">
        <f>E424</f>
        <v/>
      </c>
      <c r="K390" s="133" t="str">
        <f>F424</f>
        <v/>
      </c>
    </row>
    <row r="391" spans="1:11">
      <c r="A391" s="128" t="s">
        <v>10</v>
      </c>
      <c r="B391" s="838" t="s">
        <v>11</v>
      </c>
      <c r="C391" s="131" t="s">
        <v>12</v>
      </c>
      <c r="D391" s="132" t="s">
        <v>84</v>
      </c>
      <c r="E391" s="753" t="str">
        <f t="shared" si="93"/>
        <v/>
      </c>
      <c r="F391" s="753" t="str">
        <f>IFERROR(TAS!L13/2,"")</f>
        <v/>
      </c>
      <c r="G391" s="150"/>
      <c r="H391" s="119" t="s">
        <v>333</v>
      </c>
      <c r="I391" s="18" t="s">
        <v>334</v>
      </c>
      <c r="J391" s="133">
        <f>E421</f>
        <v>21.880499999999998</v>
      </c>
      <c r="K391" s="133">
        <f>F421</f>
        <v>21.880499999999998</v>
      </c>
    </row>
    <row r="392" spans="1:11">
      <c r="A392" s="135"/>
      <c r="B392" s="839"/>
      <c r="C392" s="131" t="s">
        <v>13</v>
      </c>
      <c r="D392" s="132" t="s">
        <v>85</v>
      </c>
      <c r="E392" s="753">
        <f t="shared" si="93"/>
        <v>48</v>
      </c>
      <c r="F392" s="753">
        <f>IFERROR(TAS!L14/2,"")</f>
        <v>48</v>
      </c>
      <c r="G392" s="150"/>
      <c r="H392" s="119" t="s">
        <v>335</v>
      </c>
      <c r="I392" s="18" t="s">
        <v>336</v>
      </c>
      <c r="J392" s="133" t="str">
        <f>E387</f>
        <v/>
      </c>
      <c r="K392" s="133" t="str">
        <f>F387</f>
        <v/>
      </c>
    </row>
    <row r="393" spans="1:11">
      <c r="A393" s="135"/>
      <c r="B393" s="839"/>
      <c r="C393" s="131" t="s">
        <v>14</v>
      </c>
      <c r="D393" s="132" t="s">
        <v>86</v>
      </c>
      <c r="E393" s="753">
        <f t="shared" si="93"/>
        <v>7.7499999999999999E-3</v>
      </c>
      <c r="F393" s="753">
        <f>IFERROR(TAS!L15/2,"")</f>
        <v>7.7499999999999999E-3</v>
      </c>
      <c r="G393" s="150"/>
      <c r="H393" s="119" t="s">
        <v>337</v>
      </c>
      <c r="I393" s="18" t="s">
        <v>322</v>
      </c>
      <c r="J393" s="133" t="str">
        <f t="shared" ref="J393:J394" si="94">E425</f>
        <v/>
      </c>
      <c r="K393" s="133" t="str">
        <f t="shared" ref="K393:K394" si="95">F425</f>
        <v/>
      </c>
    </row>
    <row r="394" spans="1:11">
      <c r="A394" s="135"/>
      <c r="B394" s="839"/>
      <c r="C394" s="131" t="s">
        <v>15</v>
      </c>
      <c r="D394" s="132" t="s">
        <v>87</v>
      </c>
      <c r="E394" s="753" t="str">
        <f t="shared" si="93"/>
        <v/>
      </c>
      <c r="F394" s="753" t="str">
        <f>IFERROR(TAS!L16/2,"")</f>
        <v/>
      </c>
      <c r="G394" s="150"/>
      <c r="H394" s="119" t="s">
        <v>338</v>
      </c>
      <c r="I394" s="18" t="s">
        <v>339</v>
      </c>
      <c r="J394" s="133">
        <f t="shared" si="94"/>
        <v>32.090000000000003</v>
      </c>
      <c r="K394" s="133">
        <f t="shared" si="95"/>
        <v>32.090000000000003</v>
      </c>
    </row>
    <row r="395" spans="1:11">
      <c r="A395" s="135"/>
      <c r="B395" s="839"/>
      <c r="C395" s="131" t="s">
        <v>16</v>
      </c>
      <c r="D395" s="132" t="s">
        <v>88</v>
      </c>
      <c r="E395" s="753" t="str">
        <f t="shared" si="93"/>
        <v/>
      </c>
      <c r="F395" s="753" t="str">
        <f>IFERROR(TAS!L17/2,"")</f>
        <v/>
      </c>
      <c r="G395" s="150"/>
      <c r="H395" s="119" t="s">
        <v>340</v>
      </c>
      <c r="I395" s="18" t="s">
        <v>341</v>
      </c>
      <c r="J395" s="133">
        <f>E432</f>
        <v>11</v>
      </c>
      <c r="K395" s="133">
        <f>F432</f>
        <v>11</v>
      </c>
    </row>
    <row r="396" spans="1:11">
      <c r="A396" s="135"/>
      <c r="B396" s="839"/>
      <c r="C396" s="131" t="s">
        <v>17</v>
      </c>
      <c r="D396" s="132" t="s">
        <v>89</v>
      </c>
      <c r="E396" s="753">
        <f t="shared" si="93"/>
        <v>1.2010000000000001</v>
      </c>
      <c r="F396" s="753">
        <f>IFERROR(TAS!L18/2,"")</f>
        <v>1.2010000000000001</v>
      </c>
      <c r="G396" s="150"/>
      <c r="H396" s="119" t="s">
        <v>342</v>
      </c>
      <c r="I396" s="18" t="s">
        <v>343</v>
      </c>
      <c r="J396" s="133">
        <f>E427</f>
        <v>9.3000000000000007</v>
      </c>
      <c r="K396" s="133">
        <f>F427</f>
        <v>9.3000000000000007</v>
      </c>
    </row>
    <row r="397" spans="1:11">
      <c r="A397" s="135"/>
      <c r="B397" s="839"/>
      <c r="C397" s="131" t="s">
        <v>18</v>
      </c>
      <c r="D397" s="132" t="s">
        <v>90</v>
      </c>
      <c r="E397" s="753" t="str">
        <f t="shared" si="93"/>
        <v/>
      </c>
      <c r="F397" s="753" t="str">
        <f>IFERROR(TAS!L19/2,"")</f>
        <v/>
      </c>
      <c r="G397" s="150"/>
      <c r="H397" s="119" t="s">
        <v>344</v>
      </c>
      <c r="I397" s="18" t="s">
        <v>345</v>
      </c>
      <c r="J397" s="133" t="str">
        <f t="shared" ref="J397:J398" si="96">E416</f>
        <v/>
      </c>
      <c r="K397" s="133" t="str">
        <f t="shared" ref="K397:K398" si="97">F416</f>
        <v/>
      </c>
    </row>
    <row r="398" spans="1:11">
      <c r="A398" s="135"/>
      <c r="B398" s="839"/>
      <c r="C398" s="131" t="s">
        <v>19</v>
      </c>
      <c r="D398" s="132" t="s">
        <v>141</v>
      </c>
      <c r="E398" s="753" t="str">
        <f t="shared" si="93"/>
        <v/>
      </c>
      <c r="F398" s="753" t="str">
        <f>IFERROR(TAS!L20/2,"")</f>
        <v/>
      </c>
      <c r="G398" s="150"/>
      <c r="H398" s="119" t="s">
        <v>346</v>
      </c>
      <c r="I398" s="18" t="s">
        <v>347</v>
      </c>
      <c r="J398" s="133" t="str">
        <f t="shared" si="96"/>
        <v/>
      </c>
      <c r="K398" s="133" t="str">
        <f t="shared" si="97"/>
        <v/>
      </c>
    </row>
    <row r="399" spans="1:11">
      <c r="A399" s="135"/>
      <c r="B399" s="839"/>
      <c r="C399" s="131" t="s">
        <v>142</v>
      </c>
      <c r="D399" s="132" t="s">
        <v>143</v>
      </c>
      <c r="E399" s="753" t="str">
        <f t="shared" si="93"/>
        <v/>
      </c>
      <c r="F399" s="753" t="str">
        <f>IFERROR(TAS!L21/2,"")</f>
        <v/>
      </c>
      <c r="G399" s="150"/>
      <c r="H399" s="119" t="s">
        <v>348</v>
      </c>
      <c r="I399" s="18" t="s">
        <v>349</v>
      </c>
      <c r="J399" s="133">
        <f>E454</f>
        <v>3.2954999999999997</v>
      </c>
      <c r="K399" s="133">
        <f>F454</f>
        <v>3.2954999999999997</v>
      </c>
    </row>
    <row r="400" spans="1:11">
      <c r="A400" s="135"/>
      <c r="B400" s="839"/>
      <c r="C400" s="131" t="s">
        <v>20</v>
      </c>
      <c r="D400" s="132" t="s">
        <v>91</v>
      </c>
      <c r="E400" s="753" t="str">
        <f t="shared" si="93"/>
        <v/>
      </c>
      <c r="F400" s="753" t="str">
        <f>IFERROR(TAS!L22/2,"")</f>
        <v/>
      </c>
      <c r="G400" s="150"/>
      <c r="H400" s="119" t="s">
        <v>350</v>
      </c>
      <c r="I400" s="18" t="s">
        <v>351</v>
      </c>
      <c r="J400" s="133">
        <f t="shared" ref="J400" si="98">SUM(E457,E412:E413,E415)</f>
        <v>0.12</v>
      </c>
      <c r="K400" s="133">
        <f t="shared" ref="K400" si="99">SUM(F457,F412:F413,F415)</f>
        <v>0.12</v>
      </c>
    </row>
    <row r="401" spans="1:11">
      <c r="A401" s="135"/>
      <c r="B401" s="839"/>
      <c r="C401" s="131" t="s">
        <v>21</v>
      </c>
      <c r="D401" s="132" t="s">
        <v>144</v>
      </c>
      <c r="E401" s="753" t="str">
        <f t="shared" si="93"/>
        <v/>
      </c>
      <c r="F401" s="753" t="str">
        <f>IFERROR(TAS!L23/2,"")</f>
        <v/>
      </c>
      <c r="G401" s="150"/>
      <c r="H401" s="119" t="s">
        <v>352</v>
      </c>
      <c r="I401" s="18" t="s">
        <v>353</v>
      </c>
      <c r="J401" s="133">
        <f>E455</f>
        <v>3.2625000000000002</v>
      </c>
      <c r="K401" s="133">
        <f>F455</f>
        <v>3.2625000000000002</v>
      </c>
    </row>
    <row r="402" spans="1:11">
      <c r="A402" s="135"/>
      <c r="B402" s="839"/>
      <c r="C402" s="131" t="s">
        <v>22</v>
      </c>
      <c r="D402" s="132" t="s">
        <v>92</v>
      </c>
      <c r="E402" s="753" t="str">
        <f t="shared" si="93"/>
        <v/>
      </c>
      <c r="F402" s="753" t="str">
        <f>IFERROR(TAS!L24/2,"")</f>
        <v/>
      </c>
      <c r="G402" s="150"/>
      <c r="H402" s="119" t="s">
        <v>354</v>
      </c>
      <c r="I402" s="18" t="s">
        <v>355</v>
      </c>
      <c r="J402" s="133" t="str">
        <f>E386</f>
        <v/>
      </c>
      <c r="K402" s="133" t="str">
        <f>F386</f>
        <v/>
      </c>
    </row>
    <row r="403" spans="1:11">
      <c r="A403" s="135"/>
      <c r="B403" s="839"/>
      <c r="C403" s="131" t="s">
        <v>23</v>
      </c>
      <c r="D403" s="132" t="s">
        <v>93</v>
      </c>
      <c r="E403" s="753">
        <f t="shared" si="93"/>
        <v>5206.643</v>
      </c>
      <c r="F403" s="753">
        <f>IFERROR(TAS!L25/2,"")</f>
        <v>5206.643</v>
      </c>
      <c r="G403" s="150"/>
      <c r="H403" s="119" t="s">
        <v>356</v>
      </c>
      <c r="I403" s="18" t="s">
        <v>357</v>
      </c>
      <c r="J403" s="133">
        <f t="shared" ref="J403" si="100">SUM(E448,E445:E446,E450)</f>
        <v>15166.836848635236</v>
      </c>
      <c r="K403" s="133">
        <f t="shared" ref="K403" si="101">SUM(F448,F445:F446,F450)</f>
        <v>15166.836848635236</v>
      </c>
    </row>
    <row r="404" spans="1:11">
      <c r="A404" s="135"/>
      <c r="B404" s="839"/>
      <c r="C404" s="131" t="s">
        <v>24</v>
      </c>
      <c r="D404" s="132" t="s">
        <v>94</v>
      </c>
      <c r="E404" s="753">
        <f t="shared" si="93"/>
        <v>55585</v>
      </c>
      <c r="F404" s="753">
        <f>IFERROR(TAS!L26/2,"")</f>
        <v>55585</v>
      </c>
      <c r="G404" s="214" t="s">
        <v>431</v>
      </c>
      <c r="H404" s="120"/>
      <c r="I404" s="63" t="s">
        <v>407</v>
      </c>
      <c r="J404" s="137"/>
      <c r="K404" s="138"/>
    </row>
    <row r="405" spans="1:11">
      <c r="A405" s="135"/>
      <c r="B405" s="839"/>
      <c r="C405" s="131" t="s">
        <v>25</v>
      </c>
      <c r="D405" s="132" t="s">
        <v>145</v>
      </c>
      <c r="E405" s="753" t="str">
        <f>F405</f>
        <v/>
      </c>
      <c r="F405" s="753" t="str">
        <f>IFERROR(TAS!L27/2,"")</f>
        <v/>
      </c>
      <c r="G405" s="150"/>
      <c r="H405" s="119" t="s">
        <v>358</v>
      </c>
      <c r="I405" s="19" t="s">
        <v>84</v>
      </c>
      <c r="J405" s="133" t="str">
        <f>E391</f>
        <v/>
      </c>
      <c r="K405" s="133" t="str">
        <f>F391</f>
        <v/>
      </c>
    </row>
    <row r="406" spans="1:11">
      <c r="A406" s="135"/>
      <c r="B406" s="839"/>
      <c r="C406" s="131" t="s">
        <v>146</v>
      </c>
      <c r="D406" s="132" t="s">
        <v>147</v>
      </c>
      <c r="E406" s="753" t="str">
        <f t="shared" si="93"/>
        <v/>
      </c>
      <c r="F406" s="753" t="str">
        <f>IFERROR(TAS!L28/2,"")</f>
        <v/>
      </c>
      <c r="G406" s="150"/>
      <c r="H406" s="119" t="s">
        <v>359</v>
      </c>
      <c r="I406" s="19" t="s">
        <v>90</v>
      </c>
      <c r="J406" s="133" t="str">
        <f>E397</f>
        <v/>
      </c>
      <c r="K406" s="133" t="str">
        <f>F397</f>
        <v/>
      </c>
    </row>
    <row r="407" spans="1:11">
      <c r="A407" s="135"/>
      <c r="B407" s="839"/>
      <c r="C407" s="131" t="s">
        <v>148</v>
      </c>
      <c r="D407" s="132" t="s">
        <v>149</v>
      </c>
      <c r="E407" s="753" t="str">
        <f t="shared" si="93"/>
        <v/>
      </c>
      <c r="F407" s="753" t="str">
        <f>IFERROR(TAS!L29/2,"")</f>
        <v/>
      </c>
      <c r="G407" s="150"/>
      <c r="H407" s="119" t="s">
        <v>360</v>
      </c>
      <c r="I407" s="19" t="s">
        <v>361</v>
      </c>
      <c r="J407" s="133" t="str">
        <f>E395</f>
        <v/>
      </c>
      <c r="K407" s="133" t="str">
        <f>F395</f>
        <v/>
      </c>
    </row>
    <row r="408" spans="1:11">
      <c r="A408" s="135"/>
      <c r="B408" s="839"/>
      <c r="C408" s="131" t="s">
        <v>26</v>
      </c>
      <c r="D408" s="132" t="s">
        <v>150</v>
      </c>
      <c r="E408" s="753" t="str">
        <f t="shared" si="93"/>
        <v/>
      </c>
      <c r="F408" s="753" t="str">
        <f>IFERROR(TAS!L30/2,"")</f>
        <v/>
      </c>
      <c r="G408" s="150"/>
      <c r="H408" s="119" t="s">
        <v>362</v>
      </c>
      <c r="I408" s="19" t="s">
        <v>91</v>
      </c>
      <c r="J408" s="133" t="str">
        <f>E400</f>
        <v/>
      </c>
      <c r="K408" s="133" t="str">
        <f>F400</f>
        <v/>
      </c>
    </row>
    <row r="409" spans="1:11">
      <c r="A409" s="135"/>
      <c r="B409" s="839"/>
      <c r="C409" s="131" t="s">
        <v>27</v>
      </c>
      <c r="D409" s="132" t="s">
        <v>95</v>
      </c>
      <c r="E409" s="753">
        <f t="shared" si="93"/>
        <v>1890.0775000000001</v>
      </c>
      <c r="F409" s="753">
        <f>IFERROR(TAS!L31/2,"")</f>
        <v>1890.0775000000001</v>
      </c>
      <c r="G409" s="150"/>
      <c r="H409" s="119" t="s">
        <v>363</v>
      </c>
      <c r="I409" s="19" t="s">
        <v>94</v>
      </c>
      <c r="J409" s="133">
        <f>E404</f>
        <v>55585</v>
      </c>
      <c r="K409" s="133">
        <f>F404</f>
        <v>55585</v>
      </c>
    </row>
    <row r="410" spans="1:11">
      <c r="A410" s="135"/>
      <c r="B410" s="839"/>
      <c r="C410" s="131" t="s">
        <v>28</v>
      </c>
      <c r="D410" s="132" t="s">
        <v>96</v>
      </c>
      <c r="E410" s="753" t="str">
        <f t="shared" si="93"/>
        <v/>
      </c>
      <c r="F410" s="753" t="str">
        <f>IFERROR(TAS!L32/2,"")</f>
        <v/>
      </c>
      <c r="G410" s="150"/>
      <c r="H410" s="119" t="s">
        <v>364</v>
      </c>
      <c r="I410" s="19" t="s">
        <v>87</v>
      </c>
      <c r="J410" s="133" t="str">
        <f>E394</f>
        <v/>
      </c>
      <c r="K410" s="133" t="str">
        <f>F394</f>
        <v/>
      </c>
    </row>
    <row r="411" spans="1:11">
      <c r="A411" s="135"/>
      <c r="B411" s="839"/>
      <c r="C411" s="131" t="s">
        <v>29</v>
      </c>
      <c r="D411" s="132" t="s">
        <v>97</v>
      </c>
      <c r="E411" s="753" t="str">
        <f t="shared" si="93"/>
        <v/>
      </c>
      <c r="F411" s="753" t="str">
        <f>IFERROR(TAS!L33/2,"")</f>
        <v/>
      </c>
      <c r="G411" s="150"/>
      <c r="H411" s="119" t="s">
        <v>365</v>
      </c>
      <c r="I411" s="19" t="s">
        <v>145</v>
      </c>
      <c r="J411" s="133" t="str">
        <f>E405</f>
        <v/>
      </c>
      <c r="K411" s="133" t="str">
        <f>F405</f>
        <v/>
      </c>
    </row>
    <row r="412" spans="1:11">
      <c r="A412" s="135"/>
      <c r="B412" s="839"/>
      <c r="C412" s="131" t="s">
        <v>99</v>
      </c>
      <c r="D412" s="132" t="s">
        <v>98</v>
      </c>
      <c r="E412" s="753" t="str">
        <f t="shared" si="93"/>
        <v/>
      </c>
      <c r="F412" s="753" t="str">
        <f>IFERROR(TAS!L34/2,"")</f>
        <v/>
      </c>
      <c r="G412" s="150"/>
      <c r="H412" s="119" t="s">
        <v>366</v>
      </c>
      <c r="I412" s="19" t="s">
        <v>89</v>
      </c>
      <c r="J412" s="133">
        <f>E396</f>
        <v>1.2010000000000001</v>
      </c>
      <c r="K412" s="133">
        <f>F396</f>
        <v>1.2010000000000001</v>
      </c>
    </row>
    <row r="413" spans="1:11">
      <c r="A413" s="135"/>
      <c r="B413" s="839"/>
      <c r="C413" s="131" t="s">
        <v>101</v>
      </c>
      <c r="D413" s="132" t="s">
        <v>100</v>
      </c>
      <c r="E413" s="753" t="str">
        <f t="shared" si="93"/>
        <v/>
      </c>
      <c r="F413" s="753" t="str">
        <f>IFERROR(TAS!L35/2,"")</f>
        <v/>
      </c>
      <c r="G413" s="150"/>
      <c r="H413" s="119" t="s">
        <v>367</v>
      </c>
      <c r="I413" s="19" t="s">
        <v>141</v>
      </c>
      <c r="J413" s="133" t="str">
        <f>E398</f>
        <v/>
      </c>
      <c r="K413" s="133" t="str">
        <f>F398</f>
        <v/>
      </c>
    </row>
    <row r="414" spans="1:11">
      <c r="A414" s="136"/>
      <c r="B414" s="840"/>
      <c r="C414" s="131" t="s">
        <v>30</v>
      </c>
      <c r="D414" s="132" t="s">
        <v>151</v>
      </c>
      <c r="E414" s="753" t="str">
        <f t="shared" si="93"/>
        <v/>
      </c>
      <c r="F414" s="753" t="str">
        <f>IFERROR(TAS!L36/2,"")</f>
        <v/>
      </c>
      <c r="G414" s="150"/>
      <c r="H414" s="119" t="s">
        <v>368</v>
      </c>
      <c r="I414" s="19" t="s">
        <v>147</v>
      </c>
      <c r="J414" s="133" t="str">
        <f>E406</f>
        <v/>
      </c>
      <c r="K414" s="133" t="str">
        <f>F406</f>
        <v/>
      </c>
    </row>
    <row r="415" spans="1:11">
      <c r="A415" s="128" t="s">
        <v>31</v>
      </c>
      <c r="B415" s="205" t="s">
        <v>32</v>
      </c>
      <c r="C415" s="131" t="s">
        <v>33</v>
      </c>
      <c r="D415" s="132" t="s">
        <v>102</v>
      </c>
      <c r="E415" s="753">
        <f t="shared" si="93"/>
        <v>0.12</v>
      </c>
      <c r="F415" s="753">
        <f>IFERROR(TAS!L37/2,"")</f>
        <v>0.12</v>
      </c>
      <c r="G415" s="150"/>
      <c r="H415" s="119" t="s">
        <v>369</v>
      </c>
      <c r="I415" s="19" t="s">
        <v>86</v>
      </c>
      <c r="J415" s="133">
        <f>E393</f>
        <v>7.7499999999999999E-3</v>
      </c>
      <c r="K415" s="133">
        <f>F393</f>
        <v>7.7499999999999999E-3</v>
      </c>
    </row>
    <row r="416" spans="1:11">
      <c r="A416" s="128" t="s">
        <v>34</v>
      </c>
      <c r="B416" s="838" t="s">
        <v>152</v>
      </c>
      <c r="C416" s="131" t="s">
        <v>35</v>
      </c>
      <c r="D416" s="132" t="s">
        <v>103</v>
      </c>
      <c r="E416" s="753" t="str">
        <f t="shared" si="93"/>
        <v/>
      </c>
      <c r="F416" s="753" t="str">
        <f>IFERROR(TAS!#REF!/2,"")</f>
        <v/>
      </c>
      <c r="G416" s="150"/>
      <c r="H416" s="119" t="s">
        <v>370</v>
      </c>
      <c r="I416" s="19" t="s">
        <v>143</v>
      </c>
      <c r="J416" s="133" t="str">
        <f>E399</f>
        <v/>
      </c>
      <c r="K416" s="133" t="str">
        <f>F399</f>
        <v/>
      </c>
    </row>
    <row r="417" spans="1:11">
      <c r="A417" s="136"/>
      <c r="B417" s="840"/>
      <c r="C417" s="131" t="s">
        <v>105</v>
      </c>
      <c r="D417" s="132" t="s">
        <v>104</v>
      </c>
      <c r="E417" s="753" t="str">
        <f t="shared" si="93"/>
        <v/>
      </c>
      <c r="F417" s="753" t="str">
        <f>IFERROR(TAS!L38/2,"")</f>
        <v/>
      </c>
      <c r="G417" s="150"/>
      <c r="H417" s="119" t="s">
        <v>371</v>
      </c>
      <c r="I417" s="19" t="s">
        <v>93</v>
      </c>
      <c r="J417" s="133">
        <f>E403</f>
        <v>5206.643</v>
      </c>
      <c r="K417" s="133">
        <f>F403</f>
        <v>5206.643</v>
      </c>
    </row>
    <row r="418" spans="1:11">
      <c r="A418" s="128" t="s">
        <v>37</v>
      </c>
      <c r="B418" s="838" t="s">
        <v>153</v>
      </c>
      <c r="C418" s="131" t="s">
        <v>38</v>
      </c>
      <c r="D418" s="132" t="s">
        <v>106</v>
      </c>
      <c r="E418" s="753" t="str">
        <f t="shared" si="93"/>
        <v/>
      </c>
      <c r="F418" s="753" t="str">
        <f>IFERROR(TAS!L39/2,"")</f>
        <v/>
      </c>
      <c r="G418" s="150"/>
      <c r="H418" s="119" t="s">
        <v>372</v>
      </c>
      <c r="I418" s="19" t="s">
        <v>85</v>
      </c>
      <c r="J418" s="133">
        <f>E392</f>
        <v>48</v>
      </c>
      <c r="K418" s="133">
        <f>F392</f>
        <v>48</v>
      </c>
    </row>
    <row r="419" spans="1:11">
      <c r="A419" s="135"/>
      <c r="B419" s="839"/>
      <c r="C419" s="131" t="s">
        <v>39</v>
      </c>
      <c r="D419" s="132" t="s">
        <v>107</v>
      </c>
      <c r="E419" s="753" t="str">
        <f t="shared" si="93"/>
        <v/>
      </c>
      <c r="F419" s="753" t="str">
        <f>IFERROR(TAS!L40/2,"")</f>
        <v/>
      </c>
      <c r="G419" s="150"/>
      <c r="H419" s="119" t="s">
        <v>373</v>
      </c>
      <c r="I419" s="19" t="s">
        <v>374</v>
      </c>
      <c r="J419" s="133" t="str">
        <f t="shared" ref="J419:J421" si="102">E388</f>
        <v/>
      </c>
      <c r="K419" s="133" t="str">
        <f t="shared" ref="K419:K421" si="103">F388</f>
        <v/>
      </c>
    </row>
    <row r="420" spans="1:11">
      <c r="A420" s="135"/>
      <c r="B420" s="839"/>
      <c r="C420" s="131" t="s">
        <v>40</v>
      </c>
      <c r="D420" s="132" t="s">
        <v>108</v>
      </c>
      <c r="E420" s="753">
        <f t="shared" si="93"/>
        <v>100.83499999999999</v>
      </c>
      <c r="F420" s="753">
        <f>IFERROR(TAS!L41/2,"")</f>
        <v>100.83499999999999</v>
      </c>
      <c r="G420" s="150"/>
      <c r="H420" s="119" t="s">
        <v>375</v>
      </c>
      <c r="I420" s="19" t="s">
        <v>82</v>
      </c>
      <c r="J420" s="133">
        <f t="shared" si="102"/>
        <v>15.763</v>
      </c>
      <c r="K420" s="133">
        <f t="shared" si="103"/>
        <v>15.763</v>
      </c>
    </row>
    <row r="421" spans="1:11">
      <c r="A421" s="136"/>
      <c r="B421" s="840"/>
      <c r="C421" s="131" t="s">
        <v>41</v>
      </c>
      <c r="D421" s="132" t="s">
        <v>109</v>
      </c>
      <c r="E421" s="753">
        <f t="shared" si="93"/>
        <v>21.880499999999998</v>
      </c>
      <c r="F421" s="753">
        <f>IFERROR(TAS!L42/2,"")</f>
        <v>21.880499999999998</v>
      </c>
      <c r="G421" s="150"/>
      <c r="H421" s="119" t="s">
        <v>376</v>
      </c>
      <c r="I421" s="19" t="s">
        <v>83</v>
      </c>
      <c r="J421" s="133">
        <f t="shared" si="102"/>
        <v>0.3</v>
      </c>
      <c r="K421" s="133">
        <f t="shared" si="103"/>
        <v>0.3</v>
      </c>
    </row>
    <row r="422" spans="1:11">
      <c r="A422" s="128" t="s">
        <v>42</v>
      </c>
      <c r="B422" s="838" t="s">
        <v>154</v>
      </c>
      <c r="C422" s="131" t="s">
        <v>43</v>
      </c>
      <c r="D422" s="132" t="s">
        <v>110</v>
      </c>
      <c r="E422" s="753" t="str">
        <f>F422</f>
        <v/>
      </c>
      <c r="F422" s="753" t="str">
        <f>IFERROR(TAS!L43/2,"")</f>
        <v/>
      </c>
      <c r="G422" s="150"/>
      <c r="H422" s="119" t="s">
        <v>377</v>
      </c>
      <c r="I422" s="19" t="s">
        <v>378</v>
      </c>
      <c r="J422" s="133">
        <f>E449</f>
        <v>5296.3942515461067</v>
      </c>
      <c r="K422" s="133">
        <f>F449</f>
        <v>5300.8236503501585</v>
      </c>
    </row>
    <row r="423" spans="1:11">
      <c r="A423" s="135"/>
      <c r="B423" s="839"/>
      <c r="C423" s="131" t="s">
        <v>44</v>
      </c>
      <c r="D423" s="132" t="s">
        <v>111</v>
      </c>
      <c r="E423" s="753" t="str">
        <f t="shared" si="93"/>
        <v/>
      </c>
      <c r="F423" s="753" t="str">
        <f>IFERROR(TAS!L44/2,"")</f>
        <v/>
      </c>
      <c r="G423" s="214" t="str">
        <f>G404</f>
        <v>Tas</v>
      </c>
      <c r="H423" s="119" t="s">
        <v>379</v>
      </c>
      <c r="I423" s="19" t="s">
        <v>176</v>
      </c>
      <c r="J423" s="133" t="str">
        <f>E423</f>
        <v/>
      </c>
      <c r="K423" s="133" t="str">
        <f>F423</f>
        <v/>
      </c>
    </row>
    <row r="424" spans="1:11">
      <c r="A424" s="136"/>
      <c r="B424" s="840"/>
      <c r="C424" s="131" t="s">
        <v>45</v>
      </c>
      <c r="D424" s="132" t="s">
        <v>155</v>
      </c>
      <c r="E424" s="753" t="str">
        <f t="shared" si="93"/>
        <v/>
      </c>
      <c r="F424" s="753" t="str">
        <f>IFERROR(TAS!L45/2,"")</f>
        <v/>
      </c>
      <c r="G424" s="150"/>
      <c r="H424" s="119" t="s">
        <v>380</v>
      </c>
      <c r="I424" s="19" t="s">
        <v>381</v>
      </c>
      <c r="J424" s="133" t="str">
        <f>E437</f>
        <v/>
      </c>
      <c r="K424" s="133" t="str">
        <f>F437</f>
        <v/>
      </c>
    </row>
    <row r="425" spans="1:11">
      <c r="A425" s="128" t="s">
        <v>46</v>
      </c>
      <c r="B425" s="838" t="s">
        <v>156</v>
      </c>
      <c r="C425" s="131" t="s">
        <v>47</v>
      </c>
      <c r="D425" s="132" t="s">
        <v>112</v>
      </c>
      <c r="E425" s="753" t="str">
        <f t="shared" si="93"/>
        <v/>
      </c>
      <c r="F425" s="753" t="str">
        <f>IFERROR(TAS!L46/2,"")</f>
        <v/>
      </c>
      <c r="G425" s="150"/>
      <c r="H425" s="119" t="s">
        <v>382</v>
      </c>
      <c r="I425" s="19" t="s">
        <v>383</v>
      </c>
      <c r="J425" s="133" t="str">
        <f>E433</f>
        <v/>
      </c>
      <c r="K425" s="133" t="str">
        <f>F433</f>
        <v/>
      </c>
    </row>
    <row r="426" spans="1:11">
      <c r="A426" s="135"/>
      <c r="B426" s="839"/>
      <c r="C426" s="131" t="s">
        <v>48</v>
      </c>
      <c r="D426" s="132" t="s">
        <v>157</v>
      </c>
      <c r="E426" s="753">
        <f t="shared" si="93"/>
        <v>32.090000000000003</v>
      </c>
      <c r="F426" s="753">
        <f>IFERROR(TAS!L47/2,"")</f>
        <v>32.090000000000003</v>
      </c>
      <c r="G426" s="150"/>
      <c r="H426" s="119" t="s">
        <v>384</v>
      </c>
      <c r="I426" s="19" t="s">
        <v>106</v>
      </c>
      <c r="J426" s="133" t="str">
        <f>E418</f>
        <v/>
      </c>
      <c r="K426" s="133" t="str">
        <f>F418</f>
        <v/>
      </c>
    </row>
    <row r="427" spans="1:11">
      <c r="A427" s="136"/>
      <c r="B427" s="840"/>
      <c r="C427" s="131" t="s">
        <v>49</v>
      </c>
      <c r="D427" s="132" t="s">
        <v>158</v>
      </c>
      <c r="E427" s="753">
        <f t="shared" si="93"/>
        <v>9.3000000000000007</v>
      </c>
      <c r="F427" s="753">
        <f>IFERROR(TAS!L48/2,"")</f>
        <v>9.3000000000000007</v>
      </c>
      <c r="G427" s="150"/>
      <c r="H427" s="119" t="s">
        <v>385</v>
      </c>
      <c r="I427" s="19" t="s">
        <v>108</v>
      </c>
      <c r="J427" s="133">
        <f>E420</f>
        <v>100.83499999999999</v>
      </c>
      <c r="K427" s="133">
        <f>F420</f>
        <v>100.83499999999999</v>
      </c>
    </row>
    <row r="428" spans="1:11">
      <c r="A428" s="128" t="s">
        <v>50</v>
      </c>
      <c r="B428" s="838" t="s">
        <v>159</v>
      </c>
      <c r="C428" s="131" t="s">
        <v>51</v>
      </c>
      <c r="D428" s="132" t="s">
        <v>113</v>
      </c>
      <c r="E428" s="163">
        <f>'Gap data 1'!$F51*'Gap data 2'!G6/1000000</f>
        <v>4211.6555850760078</v>
      </c>
      <c r="F428" s="163">
        <f>'Gap data 1'!$F51*'Gap data 2'!G7/1000000</f>
        <v>4215.1778119582241</v>
      </c>
      <c r="G428" s="724"/>
      <c r="H428" s="119" t="s">
        <v>386</v>
      </c>
      <c r="I428" s="19" t="s">
        <v>107</v>
      </c>
      <c r="J428" s="133" t="str">
        <f>E419</f>
        <v/>
      </c>
      <c r="K428" s="133" t="str">
        <f>F419</f>
        <v/>
      </c>
    </row>
    <row r="429" spans="1:11">
      <c r="A429" s="135"/>
      <c r="B429" s="839"/>
      <c r="C429" s="131" t="s">
        <v>115</v>
      </c>
      <c r="D429" s="132" t="s">
        <v>114</v>
      </c>
      <c r="E429" s="163">
        <f>'Gap data 1'!$F52*'Gap data 2'!G6/1000000</f>
        <v>6858.6855384857263</v>
      </c>
      <c r="F429" s="163">
        <f>'Gap data 1'!$F52*'Gap data 2'!G7/1000000</f>
        <v>6864.4214886583677</v>
      </c>
      <c r="G429" s="724"/>
      <c r="H429" s="119" t="s">
        <v>387</v>
      </c>
      <c r="I429" s="19" t="s">
        <v>388</v>
      </c>
      <c r="J429" s="133" t="str">
        <f t="shared" ref="J429:J430" si="104">E435</f>
        <v/>
      </c>
      <c r="K429" s="133" t="str">
        <f t="shared" ref="K429:K430" si="105">F435</f>
        <v/>
      </c>
    </row>
    <row r="430" spans="1:11">
      <c r="A430" s="135"/>
      <c r="B430" s="839"/>
      <c r="C430" s="131" t="s">
        <v>52</v>
      </c>
      <c r="D430" s="132" t="s">
        <v>116</v>
      </c>
      <c r="E430" s="753" t="str">
        <f t="shared" ref="E430:E447" si="106">F430</f>
        <v/>
      </c>
      <c r="F430" s="753" t="str">
        <f>IFERROR(TAS!L52/2,"")</f>
        <v/>
      </c>
      <c r="G430" s="150"/>
      <c r="H430" s="119" t="s">
        <v>389</v>
      </c>
      <c r="I430" s="19" t="s">
        <v>390</v>
      </c>
      <c r="J430" s="133" t="str">
        <f t="shared" si="104"/>
        <v/>
      </c>
      <c r="K430" s="133" t="str">
        <f t="shared" si="105"/>
        <v/>
      </c>
    </row>
    <row r="431" spans="1:11">
      <c r="A431" s="136"/>
      <c r="B431" s="840"/>
      <c r="C431" s="131" t="s">
        <v>118</v>
      </c>
      <c r="D431" s="132" t="s">
        <v>117</v>
      </c>
      <c r="E431" s="753" t="str">
        <f t="shared" si="106"/>
        <v/>
      </c>
      <c r="F431" s="753" t="str">
        <f>IFERROR(TAS!L53/2,"")</f>
        <v/>
      </c>
      <c r="G431" s="150"/>
      <c r="H431" s="119" t="s">
        <v>391</v>
      </c>
      <c r="I431" s="19" t="s">
        <v>392</v>
      </c>
      <c r="J431" s="133">
        <f>E434</f>
        <v>1.75</v>
      </c>
      <c r="K431" s="133">
        <f>F434</f>
        <v>1.75</v>
      </c>
    </row>
    <row r="432" spans="1:11" ht="25.5">
      <c r="A432" s="128" t="s">
        <v>53</v>
      </c>
      <c r="B432" s="838" t="s">
        <v>54</v>
      </c>
      <c r="C432" s="131" t="s">
        <v>55</v>
      </c>
      <c r="D432" s="145" t="s">
        <v>160</v>
      </c>
      <c r="E432" s="753">
        <f t="shared" si="106"/>
        <v>11</v>
      </c>
      <c r="F432" s="753">
        <f>IFERROR(TAS!L54/2,"")</f>
        <v>11</v>
      </c>
      <c r="G432" s="150"/>
      <c r="H432" s="120"/>
      <c r="I432" s="63" t="s">
        <v>405</v>
      </c>
      <c r="J432" s="137"/>
      <c r="K432" s="138"/>
    </row>
    <row r="433" spans="1:11">
      <c r="A433" s="135"/>
      <c r="B433" s="839"/>
      <c r="C433" s="131" t="s">
        <v>56</v>
      </c>
      <c r="D433" s="132" t="s">
        <v>161</v>
      </c>
      <c r="E433" s="753" t="str">
        <f t="shared" si="106"/>
        <v/>
      </c>
      <c r="F433" s="753" t="str">
        <f>IFERROR(TAS!L55/2,"")</f>
        <v/>
      </c>
      <c r="G433" s="150"/>
      <c r="H433" s="119" t="s">
        <v>393</v>
      </c>
      <c r="I433" s="19" t="s">
        <v>394</v>
      </c>
      <c r="J433" s="163">
        <f>'Gap data 2'!$B$17*'Gap data 2'!G6</f>
        <v>148583.65515409372</v>
      </c>
      <c r="K433" s="163">
        <f>'Gap data 2'!$B$17*'Gap data 2'!G7</f>
        <v>148707.91634636599</v>
      </c>
    </row>
    <row r="434" spans="1:11">
      <c r="A434" s="135"/>
      <c r="B434" s="839"/>
      <c r="C434" s="131" t="s">
        <v>57</v>
      </c>
      <c r="D434" s="132" t="s">
        <v>162</v>
      </c>
      <c r="E434" s="753">
        <f t="shared" si="106"/>
        <v>1.75</v>
      </c>
      <c r="F434" s="753">
        <f>IFERROR(TAS!L56/2,"")</f>
        <v>1.75</v>
      </c>
      <c r="G434" s="150"/>
      <c r="H434" s="119" t="s">
        <v>395</v>
      </c>
      <c r="I434" s="19" t="s">
        <v>396</v>
      </c>
      <c r="J434" s="221">
        <v>0</v>
      </c>
      <c r="K434" s="221">
        <v>0</v>
      </c>
    </row>
    <row r="435" spans="1:11">
      <c r="A435" s="135"/>
      <c r="B435" s="839"/>
      <c r="C435" s="131" t="s">
        <v>120</v>
      </c>
      <c r="D435" s="132" t="s">
        <v>119</v>
      </c>
      <c r="E435" s="753" t="str">
        <f t="shared" si="106"/>
        <v/>
      </c>
      <c r="F435" s="753" t="str">
        <f>IFERROR(TAS!L57/2,"")</f>
        <v/>
      </c>
      <c r="G435" s="150"/>
      <c r="H435" s="72"/>
      <c r="I435" s="146" t="s">
        <v>408</v>
      </c>
      <c r="J435" s="147"/>
      <c r="K435" s="148"/>
    </row>
    <row r="436" spans="1:11">
      <c r="A436" s="135"/>
      <c r="B436" s="839"/>
      <c r="C436" s="131" t="s">
        <v>122</v>
      </c>
      <c r="D436" s="132" t="s">
        <v>121</v>
      </c>
      <c r="E436" s="753" t="str">
        <f t="shared" si="106"/>
        <v/>
      </c>
      <c r="F436" s="753" t="str">
        <f>IFERROR(TAS!L58/2,"")</f>
        <v/>
      </c>
      <c r="G436" s="150"/>
      <c r="H436" s="121">
        <v>1</v>
      </c>
      <c r="I436" s="132" t="s">
        <v>397</v>
      </c>
      <c r="J436" s="80">
        <f>SUM(E401:E402,E407:E408)</f>
        <v>0</v>
      </c>
      <c r="K436" s="80">
        <f>SUM(F401:F402,F407:F408)</f>
        <v>0</v>
      </c>
    </row>
    <row r="437" spans="1:11">
      <c r="A437" s="135"/>
      <c r="B437" s="839"/>
      <c r="C437" s="131" t="s">
        <v>124</v>
      </c>
      <c r="D437" s="132" t="s">
        <v>123</v>
      </c>
      <c r="E437" s="753" t="str">
        <f t="shared" si="106"/>
        <v/>
      </c>
      <c r="F437" s="753" t="str">
        <f>IFERROR(TAS!L59/2,"")</f>
        <v/>
      </c>
      <c r="G437" s="150"/>
      <c r="H437" s="121">
        <v>2</v>
      </c>
      <c r="I437" s="132" t="s">
        <v>398</v>
      </c>
      <c r="J437" s="80">
        <f>SUM(E409:E411,E414)</f>
        <v>1890.0775000000001</v>
      </c>
      <c r="K437" s="80">
        <f>SUM(F409:F411,F414)</f>
        <v>1890.0775000000001</v>
      </c>
    </row>
    <row r="438" spans="1:11">
      <c r="A438" s="135"/>
      <c r="B438" s="839"/>
      <c r="C438" s="131" t="s">
        <v>58</v>
      </c>
      <c r="D438" s="132" t="s">
        <v>136</v>
      </c>
      <c r="E438" s="753" t="str">
        <f t="shared" si="106"/>
        <v/>
      </c>
      <c r="F438" s="753" t="str">
        <f>IFERROR(TAS!L60/2,"")</f>
        <v/>
      </c>
      <c r="G438" s="150"/>
      <c r="H438" s="121">
        <v>3</v>
      </c>
      <c r="I438" s="132" t="s">
        <v>323</v>
      </c>
      <c r="J438" s="80">
        <f>SUM(E438:E441)</f>
        <v>3.15</v>
      </c>
      <c r="K438" s="80">
        <f>SUM(F438:F441)</f>
        <v>3.15</v>
      </c>
    </row>
    <row r="439" spans="1:11">
      <c r="A439" s="135"/>
      <c r="B439" s="839"/>
      <c r="C439" s="131" t="s">
        <v>59</v>
      </c>
      <c r="D439" s="132" t="s">
        <v>125</v>
      </c>
      <c r="E439" s="753">
        <f t="shared" si="106"/>
        <v>1</v>
      </c>
      <c r="F439" s="753">
        <f>IFERROR(TAS!L61/2,"")</f>
        <v>1</v>
      </c>
      <c r="G439" s="150"/>
      <c r="H439" s="121">
        <v>4</v>
      </c>
      <c r="I439" s="132" t="s">
        <v>159</v>
      </c>
      <c r="J439" s="80">
        <f t="shared" ref="J439" si="107">SUM(E428:E431)</f>
        <v>11070.341123561735</v>
      </c>
      <c r="K439" s="80">
        <f>SUM(F428:F431)</f>
        <v>11079.599300616592</v>
      </c>
    </row>
    <row r="440" spans="1:11" ht="25.5">
      <c r="A440" s="135"/>
      <c r="B440" s="839"/>
      <c r="C440" s="131" t="s">
        <v>60</v>
      </c>
      <c r="D440" s="145" t="s">
        <v>163</v>
      </c>
      <c r="E440" s="753">
        <f t="shared" si="106"/>
        <v>2.15</v>
      </c>
      <c r="F440" s="753">
        <f>IFERROR(TAS!L62/2,"")</f>
        <v>2.15</v>
      </c>
      <c r="G440" s="150"/>
      <c r="H440" s="121">
        <v>5</v>
      </c>
      <c r="I440" s="142" t="s">
        <v>399</v>
      </c>
      <c r="J440" s="80">
        <f>E442</f>
        <v>3.5</v>
      </c>
      <c r="K440" s="80">
        <f>F442</f>
        <v>3.5</v>
      </c>
    </row>
    <row r="441" spans="1:11">
      <c r="A441" s="136"/>
      <c r="B441" s="840"/>
      <c r="C441" s="131" t="s">
        <v>61</v>
      </c>
      <c r="D441" s="132" t="s">
        <v>126</v>
      </c>
      <c r="E441" s="753" t="str">
        <f t="shared" si="106"/>
        <v/>
      </c>
      <c r="F441" s="753" t="str">
        <f>IFERROR(TAS!L63/2,"")</f>
        <v/>
      </c>
      <c r="G441" s="150"/>
      <c r="H441" s="58">
        <v>6</v>
      </c>
      <c r="I441" s="248" t="s">
        <v>468</v>
      </c>
      <c r="J441" s="425">
        <f t="shared" ref="J441" si="108">E443</f>
        <v>66.199999999999989</v>
      </c>
      <c r="K441" s="425">
        <f t="shared" ref="K441" si="109">F443</f>
        <v>66.199999999999989</v>
      </c>
    </row>
    <row r="442" spans="1:11">
      <c r="A442" s="128" t="s">
        <v>62</v>
      </c>
      <c r="B442" s="838" t="s">
        <v>164</v>
      </c>
      <c r="C442" s="131" t="s">
        <v>63</v>
      </c>
      <c r="D442" s="132" t="s">
        <v>165</v>
      </c>
      <c r="E442" s="753">
        <f t="shared" si="106"/>
        <v>3.5</v>
      </c>
      <c r="F442" s="753">
        <f>IFERROR(TAS!L64/2,"")</f>
        <v>3.5</v>
      </c>
      <c r="H442" s="58">
        <v>7</v>
      </c>
      <c r="I442" s="248" t="s">
        <v>469</v>
      </c>
      <c r="J442" s="425">
        <f>SUM(E444,E447)</f>
        <v>0</v>
      </c>
      <c r="K442" s="425">
        <f>SUM(F444,F447)</f>
        <v>0</v>
      </c>
    </row>
    <row r="443" spans="1:11">
      <c r="A443" s="135"/>
      <c r="B443" s="839"/>
      <c r="C443" s="131" t="s">
        <v>64</v>
      </c>
      <c r="D443" s="132" t="s">
        <v>127</v>
      </c>
      <c r="E443" s="753">
        <f t="shared" si="106"/>
        <v>66.199999999999989</v>
      </c>
      <c r="F443" s="753">
        <f>IFERROR(TAS!L65/2,"")</f>
        <v>66.199999999999989</v>
      </c>
      <c r="G443" s="214" t="str">
        <f>G423</f>
        <v>Tas</v>
      </c>
      <c r="H443" s="121">
        <v>8</v>
      </c>
      <c r="I443" s="132" t="s">
        <v>133</v>
      </c>
      <c r="J443" s="80">
        <f>E456</f>
        <v>4999.8298204182911</v>
      </c>
      <c r="K443" s="80">
        <f>F456</f>
        <v>4999.8298204182911</v>
      </c>
    </row>
    <row r="444" spans="1:11">
      <c r="A444" s="135"/>
      <c r="B444" s="839"/>
      <c r="C444" s="131" t="s">
        <v>65</v>
      </c>
      <c r="D444" s="132" t="s">
        <v>166</v>
      </c>
      <c r="E444" s="753" t="str">
        <f t="shared" si="106"/>
        <v/>
      </c>
      <c r="F444" s="753" t="str">
        <f>IFERROR(TAS!L66/2,"")</f>
        <v/>
      </c>
      <c r="G444" s="36"/>
      <c r="H444" s="181"/>
      <c r="I444" s="181"/>
      <c r="J444" s="181"/>
      <c r="K444" s="181"/>
    </row>
    <row r="445" spans="1:11">
      <c r="A445" s="135"/>
      <c r="B445" s="839"/>
      <c r="C445" s="131" t="s">
        <v>66</v>
      </c>
      <c r="D445" s="132" t="s">
        <v>173</v>
      </c>
      <c r="E445" s="753" t="str">
        <f t="shared" si="106"/>
        <v/>
      </c>
      <c r="F445" s="753" t="str">
        <f>IFERROR(TAS!L67/2,"")</f>
        <v/>
      </c>
      <c r="G445" s="36"/>
      <c r="H445" s="181"/>
      <c r="I445" s="181"/>
      <c r="J445" s="181"/>
      <c r="K445" s="181"/>
    </row>
    <row r="446" spans="1:11">
      <c r="A446" s="135"/>
      <c r="B446" s="839"/>
      <c r="C446" s="131" t="s">
        <v>67</v>
      </c>
      <c r="D446" s="132" t="s">
        <v>174</v>
      </c>
      <c r="E446" s="753" t="str">
        <f t="shared" si="106"/>
        <v/>
      </c>
      <c r="F446" s="753" t="str">
        <f>IFERROR(TAS!L68/2,"")</f>
        <v/>
      </c>
      <c r="G446" s="36"/>
      <c r="H446" s="181"/>
      <c r="I446" s="181"/>
      <c r="J446" s="181"/>
      <c r="K446" s="181"/>
    </row>
    <row r="447" spans="1:11">
      <c r="A447" s="135"/>
      <c r="B447" s="839"/>
      <c r="C447" s="131" t="s">
        <v>68</v>
      </c>
      <c r="D447" s="132" t="s">
        <v>175</v>
      </c>
      <c r="E447" s="753" t="str">
        <f t="shared" si="106"/>
        <v/>
      </c>
      <c r="F447" s="753" t="str">
        <f>IFERROR(TAS!L69/2,"")</f>
        <v/>
      </c>
      <c r="G447" s="36"/>
      <c r="H447" s="181"/>
      <c r="I447" s="181"/>
      <c r="J447" s="181"/>
      <c r="K447" s="181"/>
    </row>
    <row r="448" spans="1:11">
      <c r="A448" s="135"/>
      <c r="B448" s="839"/>
      <c r="C448" s="131" t="s">
        <v>128</v>
      </c>
      <c r="D448" s="132" t="s">
        <v>167</v>
      </c>
      <c r="E448" s="163">
        <f>IF(ISNUMBER(TAS!K70),TAS!K70)+'Gap data 2'!$G$32</f>
        <v>15166.836848635236</v>
      </c>
      <c r="F448" s="163">
        <f>IF(ISNUMBER(TAS!L70),TAS!L70)+'Gap data 2'!$G$32</f>
        <v>15166.836848635236</v>
      </c>
      <c r="G448" s="723"/>
      <c r="H448" s="181"/>
      <c r="I448" s="181"/>
      <c r="J448" s="181"/>
      <c r="K448" s="181"/>
    </row>
    <row r="449" spans="1:11">
      <c r="A449" s="135"/>
      <c r="B449" s="839"/>
      <c r="C449" s="131" t="s">
        <v>69</v>
      </c>
      <c r="D449" s="132" t="s">
        <v>129</v>
      </c>
      <c r="E449" s="114">
        <f>'Gap data 1'!$F$72*'Gap data 2'!G6/1000000</f>
        <v>5296.3942515461067</v>
      </c>
      <c r="F449" s="114">
        <f>'Gap data 1'!$F$72*'Gap data 2'!G7/1000000</f>
        <v>5300.8236503501585</v>
      </c>
      <c r="G449" s="725"/>
      <c r="H449" s="181"/>
      <c r="I449" s="181"/>
      <c r="J449" s="181"/>
      <c r="K449" s="181"/>
    </row>
    <row r="450" spans="1:11">
      <c r="A450" s="136"/>
      <c r="B450" s="840"/>
      <c r="C450" s="131" t="s">
        <v>70</v>
      </c>
      <c r="D450" s="132" t="s">
        <v>168</v>
      </c>
      <c r="E450" s="753" t="str">
        <f t="shared" ref="E450:E455" si="110">F450</f>
        <v/>
      </c>
      <c r="F450" s="753" t="str">
        <f>IFERROR(TAS!L72/2,"")</f>
        <v/>
      </c>
      <c r="G450" s="36"/>
      <c r="H450" s="181"/>
      <c r="I450" s="181"/>
      <c r="J450" s="181"/>
      <c r="K450" s="181"/>
    </row>
    <row r="451" spans="1:11">
      <c r="A451" s="128" t="s">
        <v>71</v>
      </c>
      <c r="B451" s="838" t="s">
        <v>169</v>
      </c>
      <c r="C451" s="131" t="s">
        <v>72</v>
      </c>
      <c r="D451" s="132" t="s">
        <v>170</v>
      </c>
      <c r="E451" s="753">
        <f t="shared" si="110"/>
        <v>4</v>
      </c>
      <c r="F451" s="753">
        <f>IFERROR(TAS!L73/2,"")</f>
        <v>4</v>
      </c>
      <c r="G451" s="36"/>
      <c r="H451" s="181"/>
      <c r="I451" s="181"/>
      <c r="J451" s="181"/>
      <c r="K451" s="181"/>
    </row>
    <row r="452" spans="1:11">
      <c r="A452" s="135"/>
      <c r="B452" s="839"/>
      <c r="C452" s="131" t="s">
        <v>73</v>
      </c>
      <c r="D452" s="132" t="s">
        <v>130</v>
      </c>
      <c r="E452" s="753">
        <f t="shared" si="110"/>
        <v>7.0619999999999994</v>
      </c>
      <c r="F452" s="753">
        <f>IFERROR(TAS!L74/2,"")</f>
        <v>7.0619999999999994</v>
      </c>
      <c r="G452" s="36"/>
      <c r="H452" s="181"/>
      <c r="I452" s="181"/>
      <c r="J452" s="181"/>
      <c r="K452" s="181"/>
    </row>
    <row r="453" spans="1:11">
      <c r="A453" s="136"/>
      <c r="B453" s="840"/>
      <c r="C453" s="131" t="s">
        <v>74</v>
      </c>
      <c r="D453" s="132" t="s">
        <v>131</v>
      </c>
      <c r="E453" s="753" t="str">
        <f t="shared" si="110"/>
        <v/>
      </c>
      <c r="F453" s="753" t="str">
        <f>IFERROR(TAS!L75/2,"")</f>
        <v/>
      </c>
      <c r="G453" s="36"/>
      <c r="H453" s="181"/>
      <c r="I453" s="181"/>
      <c r="J453" s="181"/>
      <c r="K453" s="181"/>
    </row>
    <row r="454" spans="1:11" ht="38.25">
      <c r="A454" s="128" t="s">
        <v>75</v>
      </c>
      <c r="B454" s="838" t="s">
        <v>76</v>
      </c>
      <c r="C454" s="131" t="s">
        <v>77</v>
      </c>
      <c r="D454" s="145" t="s">
        <v>171</v>
      </c>
      <c r="E454" s="753">
        <f t="shared" si="110"/>
        <v>3.2954999999999997</v>
      </c>
      <c r="F454" s="753">
        <f>IFERROR(TAS!L76/2,"")</f>
        <v>3.2954999999999997</v>
      </c>
      <c r="G454" s="36"/>
      <c r="H454" s="181"/>
      <c r="I454" s="181"/>
      <c r="J454" s="181"/>
      <c r="K454" s="181"/>
    </row>
    <row r="455" spans="1:11">
      <c r="A455" s="135"/>
      <c r="B455" s="839"/>
      <c r="C455" s="131" t="s">
        <v>78</v>
      </c>
      <c r="D455" s="132" t="s">
        <v>132</v>
      </c>
      <c r="E455" s="753">
        <f t="shared" si="110"/>
        <v>3.2625000000000002</v>
      </c>
      <c r="F455" s="753">
        <f>IFERROR(TAS!L77/2,"")</f>
        <v>3.2625000000000002</v>
      </c>
      <c r="G455" s="36"/>
      <c r="H455" s="181"/>
      <c r="I455" s="181"/>
      <c r="J455" s="181"/>
      <c r="K455" s="181"/>
    </row>
    <row r="456" spans="1:11">
      <c r="A456" s="135"/>
      <c r="B456" s="839"/>
      <c r="C456" s="131" t="s">
        <v>134</v>
      </c>
      <c r="D456" s="132" t="s">
        <v>133</v>
      </c>
      <c r="E456" s="163">
        <f>'Gap data 2'!$G$29</f>
        <v>4999.8298204182911</v>
      </c>
      <c r="F456" s="163">
        <f>'Gap data 2'!$G$29</f>
        <v>4999.8298204182911</v>
      </c>
      <c r="G456" s="36"/>
      <c r="H456" s="181"/>
      <c r="I456" s="181"/>
      <c r="J456" s="181"/>
      <c r="K456" s="181"/>
    </row>
    <row r="457" spans="1:11">
      <c r="A457" s="136"/>
      <c r="B457" s="840"/>
      <c r="C457" s="131" t="s">
        <v>172</v>
      </c>
      <c r="D457" s="132" t="s">
        <v>135</v>
      </c>
      <c r="E457" s="753" t="str">
        <f t="shared" ref="E457" si="111">F457</f>
        <v/>
      </c>
      <c r="F457" s="753" t="str">
        <f>IFERROR(TAS!L79/2,"")</f>
        <v/>
      </c>
      <c r="G457" s="36"/>
      <c r="H457" s="181"/>
      <c r="I457" s="181"/>
      <c r="J457" s="181"/>
      <c r="K457" s="181"/>
    </row>
    <row r="458" spans="1:11">
      <c r="G458" s="36"/>
      <c r="H458" s="181"/>
      <c r="I458" s="181"/>
      <c r="J458" s="181"/>
      <c r="K458" s="181"/>
    </row>
    <row r="459" spans="1:11" s="213" customFormat="1" ht="15.75">
      <c r="A459" s="213" t="s">
        <v>610</v>
      </c>
      <c r="H459" s="213" t="str">
        <f>A459</f>
        <v>Adjusted Vic data</v>
      </c>
    </row>
    <row r="460" spans="1:11">
      <c r="G460" s="127"/>
    </row>
    <row r="461" spans="1:11">
      <c r="A461" s="128" t="s">
        <v>3</v>
      </c>
      <c r="B461" s="838" t="s">
        <v>137</v>
      </c>
      <c r="C461" s="131" t="s">
        <v>4</v>
      </c>
      <c r="D461" s="132" t="s">
        <v>79</v>
      </c>
      <c r="E461" s="323"/>
      <c r="F461" s="323"/>
      <c r="G461" s="150"/>
      <c r="H461" s="119" t="s">
        <v>324</v>
      </c>
      <c r="I461" s="18" t="s">
        <v>325</v>
      </c>
      <c r="J461" s="133">
        <f>E526</f>
        <v>5313.0449999999973</v>
      </c>
      <c r="K461" s="133">
        <f>F526</f>
        <v>5398.2180000000008</v>
      </c>
    </row>
    <row r="462" spans="1:11">
      <c r="A462" s="135"/>
      <c r="B462" s="839"/>
      <c r="C462" s="131" t="s">
        <v>138</v>
      </c>
      <c r="D462" s="132" t="s">
        <v>139</v>
      </c>
      <c r="E462" s="323"/>
      <c r="F462" s="323"/>
      <c r="G462" s="150"/>
      <c r="H462" s="119" t="s">
        <v>326</v>
      </c>
      <c r="I462" s="18" t="s">
        <v>327</v>
      </c>
      <c r="J462" s="133">
        <f>E528</f>
        <v>404.83299999999997</v>
      </c>
      <c r="K462" s="133">
        <f>F528</f>
        <v>305.98</v>
      </c>
    </row>
    <row r="463" spans="1:11">
      <c r="A463" s="136"/>
      <c r="B463" s="840"/>
      <c r="C463" s="131" t="s">
        <v>81</v>
      </c>
      <c r="D463" s="132" t="s">
        <v>80</v>
      </c>
      <c r="E463" s="324">
        <f>Vic!K10</f>
        <v>23.023999999999994</v>
      </c>
      <c r="F463" s="324">
        <f>Vic!L10</f>
        <v>3.0680000000000001</v>
      </c>
      <c r="G463" s="150"/>
      <c r="H463" s="119" t="s">
        <v>328</v>
      </c>
      <c r="I463" s="18" t="s">
        <v>130</v>
      </c>
      <c r="J463" s="133">
        <f>E527</f>
        <v>472.36099999999982</v>
      </c>
      <c r="K463" s="133">
        <f>F527</f>
        <v>247.98399999999998</v>
      </c>
    </row>
    <row r="464" spans="1:11">
      <c r="A464" s="121" t="s">
        <v>5</v>
      </c>
      <c r="B464" s="129" t="s">
        <v>6</v>
      </c>
      <c r="C464" s="131" t="s">
        <v>7</v>
      </c>
      <c r="D464" s="132" t="s">
        <v>82</v>
      </c>
      <c r="E464" s="324">
        <f>Vic!K11</f>
        <v>3029.8910000000001</v>
      </c>
      <c r="F464" s="324">
        <f>Vic!L11</f>
        <v>4143.1769999999997</v>
      </c>
      <c r="G464" s="150"/>
      <c r="H464" s="119" t="s">
        <v>329</v>
      </c>
      <c r="I464" s="18" t="s">
        <v>330</v>
      </c>
      <c r="J464" s="133">
        <f>E497</f>
        <v>354.30399999999992</v>
      </c>
      <c r="K464" s="133">
        <f>F497</f>
        <v>315.214</v>
      </c>
    </row>
    <row r="465" spans="1:11">
      <c r="A465" s="121" t="s">
        <v>8</v>
      </c>
      <c r="B465" s="129" t="s">
        <v>140</v>
      </c>
      <c r="C465" s="131" t="s">
        <v>9</v>
      </c>
      <c r="D465" s="132" t="s">
        <v>83</v>
      </c>
      <c r="E465" s="324">
        <f>Vic!K12</f>
        <v>2997.065000000001</v>
      </c>
      <c r="F465" s="324">
        <f>Vic!L12</f>
        <v>3499.6499999999996</v>
      </c>
      <c r="G465" s="150"/>
      <c r="H465" s="119" t="s">
        <v>331</v>
      </c>
      <c r="I465" s="18" t="s">
        <v>332</v>
      </c>
      <c r="J465" s="133">
        <f>E499</f>
        <v>3.3939999999999997</v>
      </c>
      <c r="K465" s="133">
        <f>F499</f>
        <v>28.060000000000002</v>
      </c>
    </row>
    <row r="466" spans="1:11">
      <c r="A466" s="128" t="s">
        <v>10</v>
      </c>
      <c r="B466" s="838" t="s">
        <v>11</v>
      </c>
      <c r="C466" s="131" t="s">
        <v>12</v>
      </c>
      <c r="D466" s="132" t="s">
        <v>84</v>
      </c>
      <c r="E466" s="324">
        <f>Vic!K13</f>
        <v>10.456000000000001</v>
      </c>
      <c r="F466" s="324">
        <f>Vic!L13</f>
        <v>3</v>
      </c>
      <c r="G466" s="150"/>
      <c r="H466" s="119" t="s">
        <v>333</v>
      </c>
      <c r="I466" s="18" t="s">
        <v>334</v>
      </c>
      <c r="J466" s="133">
        <f>E496</f>
        <v>767.95199999999988</v>
      </c>
      <c r="K466" s="133">
        <f>F496</f>
        <v>936.61199999999997</v>
      </c>
    </row>
    <row r="467" spans="1:11">
      <c r="A467" s="135"/>
      <c r="B467" s="839"/>
      <c r="C467" s="131" t="s">
        <v>13</v>
      </c>
      <c r="D467" s="132" t="s">
        <v>85</v>
      </c>
      <c r="E467" s="324">
        <f>Vic!K14</f>
        <v>2563.7000000000003</v>
      </c>
      <c r="F467" s="324">
        <f>Vic!L14</f>
        <v>3327.92</v>
      </c>
      <c r="G467" s="150"/>
      <c r="H467" s="119" t="s">
        <v>335</v>
      </c>
      <c r="I467" s="18" t="s">
        <v>336</v>
      </c>
      <c r="J467" s="133">
        <f>E462</f>
        <v>0</v>
      </c>
      <c r="K467" s="133">
        <f>F462</f>
        <v>0</v>
      </c>
    </row>
    <row r="468" spans="1:11">
      <c r="A468" s="135"/>
      <c r="B468" s="839"/>
      <c r="C468" s="131" t="s">
        <v>14</v>
      </c>
      <c r="D468" s="132" t="s">
        <v>86</v>
      </c>
      <c r="E468" s="324">
        <f>Vic!K15</f>
        <v>12.928000000000001</v>
      </c>
      <c r="F468" s="324">
        <f>Vic!L15</f>
        <v>31.7</v>
      </c>
      <c r="G468" s="150"/>
      <c r="H468" s="119" t="s">
        <v>337</v>
      </c>
      <c r="I468" s="18" t="s">
        <v>322</v>
      </c>
      <c r="J468" s="133">
        <f t="shared" ref="J468:J469" si="112">E500</f>
        <v>11121.943999999994</v>
      </c>
      <c r="K468" s="133">
        <f t="shared" ref="K468:K469" si="113">F500</f>
        <v>12291.027</v>
      </c>
    </row>
    <row r="469" spans="1:11" ht="13.5" customHeight="1">
      <c r="A469" s="135"/>
      <c r="B469" s="839"/>
      <c r="C469" s="131" t="s">
        <v>15</v>
      </c>
      <c r="D469" s="132" t="s">
        <v>87</v>
      </c>
      <c r="E469" s="324">
        <f>Vic!K16</f>
        <v>40.89</v>
      </c>
      <c r="F469" s="324">
        <f>Vic!L16</f>
        <v>32</v>
      </c>
      <c r="G469" s="150"/>
      <c r="H469" s="119" t="s">
        <v>338</v>
      </c>
      <c r="I469" s="18" t="s">
        <v>339</v>
      </c>
      <c r="J469" s="133">
        <f t="shared" si="112"/>
        <v>35063.442000000046</v>
      </c>
      <c r="K469" s="133">
        <f t="shared" si="113"/>
        <v>28802.170999999998</v>
      </c>
    </row>
    <row r="470" spans="1:11">
      <c r="A470" s="135"/>
      <c r="B470" s="839"/>
      <c r="C470" s="131" t="s">
        <v>16</v>
      </c>
      <c r="D470" s="132" t="s">
        <v>88</v>
      </c>
      <c r="E470" s="324">
        <f>Vic!K17</f>
        <v>250.06700000000001</v>
      </c>
      <c r="F470" s="324">
        <f>Vic!L17</f>
        <v>474.65300000000002</v>
      </c>
      <c r="G470" s="150"/>
      <c r="H470" s="119" t="s">
        <v>340</v>
      </c>
      <c r="I470" s="18" t="s">
        <v>341</v>
      </c>
      <c r="J470" s="133">
        <f>E507</f>
        <v>71.478999999999999</v>
      </c>
      <c r="K470" s="133">
        <f>F507</f>
        <v>236.565</v>
      </c>
    </row>
    <row r="471" spans="1:11">
      <c r="A471" s="135"/>
      <c r="B471" s="839"/>
      <c r="C471" s="131" t="s">
        <v>17</v>
      </c>
      <c r="D471" s="132" t="s">
        <v>89</v>
      </c>
      <c r="E471" s="324">
        <f>Vic!K18</f>
        <v>0.66600000000000004</v>
      </c>
      <c r="F471" s="324">
        <f>Vic!L18</f>
        <v>0</v>
      </c>
      <c r="G471" s="150"/>
      <c r="H471" s="119" t="s">
        <v>342</v>
      </c>
      <c r="I471" s="18" t="s">
        <v>343</v>
      </c>
      <c r="J471" s="133">
        <f>E502</f>
        <v>64.385999999999996</v>
      </c>
      <c r="K471" s="133">
        <f>F502</f>
        <v>67.33</v>
      </c>
    </row>
    <row r="472" spans="1:11">
      <c r="A472" s="135"/>
      <c r="B472" s="839"/>
      <c r="C472" s="131" t="s">
        <v>18</v>
      </c>
      <c r="D472" s="132" t="s">
        <v>90</v>
      </c>
      <c r="E472" s="324">
        <f>Vic!K19</f>
        <v>4</v>
      </c>
      <c r="F472" s="324">
        <f>Vic!L19</f>
        <v>0</v>
      </c>
      <c r="G472" s="150"/>
      <c r="H472" s="119" t="s">
        <v>344</v>
      </c>
      <c r="I472" s="18" t="s">
        <v>345</v>
      </c>
      <c r="J472" s="133">
        <f t="shared" ref="J472:J473" si="114">E491</f>
        <v>8577.4579999999969</v>
      </c>
      <c r="K472" s="133">
        <f t="shared" ref="K472:K473" si="115">F491</f>
        <v>8382.7319999999982</v>
      </c>
    </row>
    <row r="473" spans="1:11">
      <c r="A473" s="135"/>
      <c r="B473" s="839"/>
      <c r="C473" s="131" t="s">
        <v>19</v>
      </c>
      <c r="D473" s="132" t="s">
        <v>141</v>
      </c>
      <c r="E473" s="324">
        <f>Vic!K20</f>
        <v>0</v>
      </c>
      <c r="F473" s="324">
        <f>Vic!L20</f>
        <v>0</v>
      </c>
      <c r="G473" s="150"/>
      <c r="H473" s="119" t="s">
        <v>346</v>
      </c>
      <c r="I473" s="18" t="s">
        <v>347</v>
      </c>
      <c r="J473" s="133">
        <f t="shared" si="114"/>
        <v>134.99799999999999</v>
      </c>
      <c r="K473" s="133">
        <f t="shared" si="115"/>
        <v>312.08100000000002</v>
      </c>
    </row>
    <row r="474" spans="1:11">
      <c r="A474" s="135"/>
      <c r="B474" s="839"/>
      <c r="C474" s="131" t="s">
        <v>142</v>
      </c>
      <c r="D474" s="132" t="s">
        <v>143</v>
      </c>
      <c r="E474" s="324">
        <f>Vic!K21</f>
        <v>0</v>
      </c>
      <c r="F474" s="324">
        <f>Vic!L21</f>
        <v>0</v>
      </c>
      <c r="G474" s="150"/>
      <c r="H474" s="119" t="s">
        <v>348</v>
      </c>
      <c r="I474" s="18" t="s">
        <v>349</v>
      </c>
      <c r="J474" s="133">
        <f>E529</f>
        <v>657.35499999999934</v>
      </c>
      <c r="K474" s="133">
        <f>F529</f>
        <v>550.38700000000006</v>
      </c>
    </row>
    <row r="475" spans="1:11">
      <c r="A475" s="135"/>
      <c r="B475" s="839"/>
      <c r="C475" s="131" t="s">
        <v>20</v>
      </c>
      <c r="D475" s="132" t="s">
        <v>91</v>
      </c>
      <c r="E475" s="324">
        <f>Vic!K22</f>
        <v>193.041</v>
      </c>
      <c r="F475" s="324">
        <f>Vic!L22</f>
        <v>109.06</v>
      </c>
      <c r="G475" s="150"/>
      <c r="H475" s="119" t="s">
        <v>350</v>
      </c>
      <c r="I475" s="18" t="s">
        <v>351</v>
      </c>
      <c r="J475" s="133">
        <f t="shared" ref="J475" si="116">SUM(E532,E487:E488,E490)</f>
        <v>57.711000000000006</v>
      </c>
      <c r="K475" s="133">
        <f t="shared" ref="K475" si="117">SUM(F532,F487:F488,F490)</f>
        <v>22.807999999999996</v>
      </c>
    </row>
    <row r="476" spans="1:11">
      <c r="A476" s="135"/>
      <c r="B476" s="839"/>
      <c r="C476" s="131" t="s">
        <v>21</v>
      </c>
      <c r="D476" s="132" t="s">
        <v>144</v>
      </c>
      <c r="E476" s="324">
        <f>Vic!K23</f>
        <v>0</v>
      </c>
      <c r="F476" s="324">
        <f>Vic!L23</f>
        <v>2</v>
      </c>
      <c r="G476" s="150"/>
      <c r="H476" s="119" t="s">
        <v>352</v>
      </c>
      <c r="I476" s="18" t="s">
        <v>353</v>
      </c>
      <c r="J476" s="133">
        <f>E530</f>
        <v>263.78399999999999</v>
      </c>
      <c r="K476" s="133">
        <f>F530</f>
        <v>212.29899999999998</v>
      </c>
    </row>
    <row r="477" spans="1:11">
      <c r="A477" s="135"/>
      <c r="B477" s="839"/>
      <c r="C477" s="131" t="s">
        <v>22</v>
      </c>
      <c r="D477" s="132" t="s">
        <v>92</v>
      </c>
      <c r="E477" s="324">
        <f>Vic!K24</f>
        <v>64.932999999999993</v>
      </c>
      <c r="F477" s="324">
        <f>Vic!L24</f>
        <v>13.94</v>
      </c>
      <c r="G477" s="150"/>
      <c r="H477" s="119" t="s">
        <v>354</v>
      </c>
      <c r="I477" s="18" t="s">
        <v>355</v>
      </c>
      <c r="J477" s="133">
        <f>E461</f>
        <v>0</v>
      </c>
      <c r="K477" s="133">
        <f>F461</f>
        <v>0</v>
      </c>
    </row>
    <row r="478" spans="1:11">
      <c r="A478" s="135"/>
      <c r="B478" s="839"/>
      <c r="C478" s="131" t="s">
        <v>23</v>
      </c>
      <c r="D478" s="132" t="s">
        <v>93</v>
      </c>
      <c r="E478" s="324">
        <f>Vic!K25</f>
        <v>696.58699999999999</v>
      </c>
      <c r="F478" s="324">
        <f>Vic!L25</f>
        <v>576.23500000000001</v>
      </c>
      <c r="G478" s="150"/>
      <c r="H478" s="119" t="s">
        <v>356</v>
      </c>
      <c r="I478" s="18" t="s">
        <v>357</v>
      </c>
      <c r="J478" s="133">
        <f t="shared" ref="J478" si="118">SUM(E523,E520:E521,E525)</f>
        <v>225088.91711111114</v>
      </c>
      <c r="K478" s="133">
        <f t="shared" ref="K478" si="119">SUM(F523,F520:F521,F525)</f>
        <v>226268.52311111114</v>
      </c>
    </row>
    <row r="479" spans="1:11">
      <c r="A479" s="135"/>
      <c r="B479" s="839"/>
      <c r="C479" s="131" t="s">
        <v>24</v>
      </c>
      <c r="D479" s="132" t="s">
        <v>94</v>
      </c>
      <c r="E479" s="324">
        <f>Vic!K26</f>
        <v>6077.426999999997</v>
      </c>
      <c r="F479" s="324">
        <f>Vic!L26</f>
        <v>956.80199999999991</v>
      </c>
      <c r="G479" s="214" t="s">
        <v>432</v>
      </c>
      <c r="H479" s="120"/>
      <c r="I479" s="63" t="s">
        <v>407</v>
      </c>
      <c r="J479" s="137"/>
      <c r="K479" s="138"/>
    </row>
    <row r="480" spans="1:11">
      <c r="A480" s="135"/>
      <c r="B480" s="839"/>
      <c r="C480" s="131" t="s">
        <v>25</v>
      </c>
      <c r="D480" s="132" t="s">
        <v>145</v>
      </c>
      <c r="E480" s="324">
        <f>Vic!K27</f>
        <v>0</v>
      </c>
      <c r="F480" s="324">
        <f>Vic!L27</f>
        <v>0</v>
      </c>
      <c r="G480" s="150"/>
      <c r="H480" s="119" t="s">
        <v>358</v>
      </c>
      <c r="I480" s="19" t="s">
        <v>84</v>
      </c>
      <c r="J480" s="133">
        <f>E466</f>
        <v>10.456000000000001</v>
      </c>
      <c r="K480" s="133">
        <f>F466</f>
        <v>3</v>
      </c>
    </row>
    <row r="481" spans="1:11">
      <c r="A481" s="135"/>
      <c r="B481" s="839"/>
      <c r="C481" s="131" t="s">
        <v>146</v>
      </c>
      <c r="D481" s="132" t="s">
        <v>147</v>
      </c>
      <c r="E481" s="323"/>
      <c r="F481" s="323"/>
      <c r="G481" s="150"/>
      <c r="H481" s="119" t="s">
        <v>359</v>
      </c>
      <c r="I481" s="19" t="s">
        <v>90</v>
      </c>
      <c r="J481" s="133">
        <f>E472</f>
        <v>4</v>
      </c>
      <c r="K481" s="133">
        <f>F472</f>
        <v>0</v>
      </c>
    </row>
    <row r="482" spans="1:11">
      <c r="A482" s="135"/>
      <c r="B482" s="839"/>
      <c r="C482" s="131" t="s">
        <v>148</v>
      </c>
      <c r="D482" s="132" t="s">
        <v>149</v>
      </c>
      <c r="E482" s="323"/>
      <c r="F482" s="323"/>
      <c r="G482" s="150"/>
      <c r="H482" s="119" t="s">
        <v>360</v>
      </c>
      <c r="I482" s="19" t="s">
        <v>361</v>
      </c>
      <c r="J482" s="133">
        <f>E470</f>
        <v>250.06700000000001</v>
      </c>
      <c r="K482" s="133">
        <f>F470</f>
        <v>474.65300000000002</v>
      </c>
    </row>
    <row r="483" spans="1:11">
      <c r="A483" s="135"/>
      <c r="B483" s="839"/>
      <c r="C483" s="131" t="s">
        <v>26</v>
      </c>
      <c r="D483" s="132" t="s">
        <v>150</v>
      </c>
      <c r="E483" s="324">
        <f>Vic!K30</f>
        <v>0.56999999999999995</v>
      </c>
      <c r="F483" s="324">
        <f>Vic!L30</f>
        <v>0</v>
      </c>
      <c r="G483" s="150"/>
      <c r="H483" s="119" t="s">
        <v>362</v>
      </c>
      <c r="I483" s="19" t="s">
        <v>91</v>
      </c>
      <c r="J483" s="133">
        <f>E475</f>
        <v>193.041</v>
      </c>
      <c r="K483" s="133">
        <f>F475</f>
        <v>109.06</v>
      </c>
    </row>
    <row r="484" spans="1:11">
      <c r="A484" s="135"/>
      <c r="B484" s="839"/>
      <c r="C484" s="131" t="s">
        <v>27</v>
      </c>
      <c r="D484" s="132" t="s">
        <v>95</v>
      </c>
      <c r="E484" s="324">
        <f>Vic!K31</f>
        <v>517.66999999999996</v>
      </c>
      <c r="F484" s="324">
        <f>Vic!L31</f>
        <v>497.02999999999992</v>
      </c>
      <c r="G484" s="150"/>
      <c r="H484" s="119" t="s">
        <v>363</v>
      </c>
      <c r="I484" s="19" t="s">
        <v>94</v>
      </c>
      <c r="J484" s="133">
        <f>E479</f>
        <v>6077.426999999997</v>
      </c>
      <c r="K484" s="133">
        <f>F479</f>
        <v>956.80199999999991</v>
      </c>
    </row>
    <row r="485" spans="1:11">
      <c r="A485" s="135"/>
      <c r="B485" s="839"/>
      <c r="C485" s="131" t="s">
        <v>28</v>
      </c>
      <c r="D485" s="132" t="s">
        <v>96</v>
      </c>
      <c r="E485" s="324">
        <f>Vic!K32</f>
        <v>0.6</v>
      </c>
      <c r="F485" s="324">
        <f>Vic!L32</f>
        <v>2</v>
      </c>
      <c r="G485" s="150"/>
      <c r="H485" s="119" t="s">
        <v>364</v>
      </c>
      <c r="I485" s="19" t="s">
        <v>87</v>
      </c>
      <c r="J485" s="133">
        <f>E469</f>
        <v>40.89</v>
      </c>
      <c r="K485" s="133">
        <f>F469</f>
        <v>32</v>
      </c>
    </row>
    <row r="486" spans="1:11">
      <c r="A486" s="135"/>
      <c r="B486" s="839"/>
      <c r="C486" s="131" t="s">
        <v>29</v>
      </c>
      <c r="D486" s="132" t="s">
        <v>97</v>
      </c>
      <c r="E486" s="324">
        <f>Vic!K33</f>
        <v>70.356000000000009</v>
      </c>
      <c r="F486" s="324">
        <f>Vic!L33</f>
        <v>0</v>
      </c>
      <c r="G486" s="150"/>
      <c r="H486" s="119" t="s">
        <v>365</v>
      </c>
      <c r="I486" s="19" t="s">
        <v>145</v>
      </c>
      <c r="J486" s="133">
        <f>E480</f>
        <v>0</v>
      </c>
      <c r="K486" s="133">
        <f>F480</f>
        <v>0</v>
      </c>
    </row>
    <row r="487" spans="1:11">
      <c r="A487" s="135"/>
      <c r="B487" s="839"/>
      <c r="C487" s="131" t="s">
        <v>99</v>
      </c>
      <c r="D487" s="132" t="s">
        <v>98</v>
      </c>
      <c r="E487" s="324">
        <f>Vic!K34</f>
        <v>0.36599999999999999</v>
      </c>
      <c r="F487" s="324">
        <f>Vic!L34</f>
        <v>0.09</v>
      </c>
      <c r="G487" s="150"/>
      <c r="H487" s="119" t="s">
        <v>366</v>
      </c>
      <c r="I487" s="19" t="s">
        <v>89</v>
      </c>
      <c r="J487" s="133">
        <f>E471</f>
        <v>0.66600000000000004</v>
      </c>
      <c r="K487" s="133">
        <f>F471</f>
        <v>0</v>
      </c>
    </row>
    <row r="488" spans="1:11">
      <c r="A488" s="135"/>
      <c r="B488" s="839"/>
      <c r="C488" s="131" t="s">
        <v>101</v>
      </c>
      <c r="D488" s="132" t="s">
        <v>100</v>
      </c>
      <c r="E488" s="324">
        <f>Vic!K35</f>
        <v>0.36599999999999999</v>
      </c>
      <c r="F488" s="324">
        <f>Vic!L35</f>
        <v>0.09</v>
      </c>
      <c r="G488" s="150"/>
      <c r="H488" s="119" t="s">
        <v>367</v>
      </c>
      <c r="I488" s="19" t="s">
        <v>141</v>
      </c>
      <c r="J488" s="133">
        <f>E473</f>
        <v>0</v>
      </c>
      <c r="K488" s="133">
        <f>F473</f>
        <v>0</v>
      </c>
    </row>
    <row r="489" spans="1:11">
      <c r="A489" s="136"/>
      <c r="B489" s="840"/>
      <c r="C489" s="131" t="s">
        <v>30</v>
      </c>
      <c r="D489" s="132" t="s">
        <v>151</v>
      </c>
      <c r="E489" s="324">
        <f>Vic!K36</f>
        <v>0</v>
      </c>
      <c r="F489" s="324">
        <f>Vic!L36</f>
        <v>0</v>
      </c>
      <c r="G489" s="150"/>
      <c r="H489" s="119" t="s">
        <v>368</v>
      </c>
      <c r="I489" s="19" t="s">
        <v>147</v>
      </c>
      <c r="J489" s="133">
        <f>E481</f>
        <v>0</v>
      </c>
      <c r="K489" s="133">
        <f>F481</f>
        <v>0</v>
      </c>
    </row>
    <row r="490" spans="1:11">
      <c r="A490" s="128" t="s">
        <v>31</v>
      </c>
      <c r="B490" s="205" t="s">
        <v>32</v>
      </c>
      <c r="C490" s="131" t="s">
        <v>33</v>
      </c>
      <c r="D490" s="132" t="s">
        <v>102</v>
      </c>
      <c r="E490" s="324">
        <f>Vic!K37</f>
        <v>56.247000000000007</v>
      </c>
      <c r="F490" s="324">
        <f>Vic!L37</f>
        <v>17.387999999999998</v>
      </c>
      <c r="G490" s="150"/>
      <c r="H490" s="119" t="s">
        <v>369</v>
      </c>
      <c r="I490" s="19" t="s">
        <v>86</v>
      </c>
      <c r="J490" s="133">
        <f>E468</f>
        <v>12.928000000000001</v>
      </c>
      <c r="K490" s="133">
        <f>F468</f>
        <v>31.7</v>
      </c>
    </row>
    <row r="491" spans="1:11">
      <c r="A491" s="128" t="s">
        <v>34</v>
      </c>
      <c r="B491" s="838" t="s">
        <v>152</v>
      </c>
      <c r="C491" s="131" t="s">
        <v>35</v>
      </c>
      <c r="D491" s="132" t="s">
        <v>103</v>
      </c>
      <c r="E491" s="324">
        <f>Vic!K38</f>
        <v>8577.4579999999969</v>
      </c>
      <c r="F491" s="324">
        <f>Vic!L38</f>
        <v>8382.7319999999982</v>
      </c>
      <c r="G491" s="150"/>
      <c r="H491" s="119" t="s">
        <v>370</v>
      </c>
      <c r="I491" s="19" t="s">
        <v>143</v>
      </c>
      <c r="J491" s="133">
        <f>E474</f>
        <v>0</v>
      </c>
      <c r="K491" s="133">
        <f>F474</f>
        <v>0</v>
      </c>
    </row>
    <row r="492" spans="1:11">
      <c r="A492" s="136"/>
      <c r="B492" s="840"/>
      <c r="C492" s="131" t="s">
        <v>105</v>
      </c>
      <c r="D492" s="132" t="s">
        <v>104</v>
      </c>
      <c r="E492" s="324">
        <f>Vic!K39</f>
        <v>134.99799999999999</v>
      </c>
      <c r="F492" s="324">
        <f>Vic!L39</f>
        <v>312.08100000000002</v>
      </c>
      <c r="G492" s="150"/>
      <c r="H492" s="119" t="s">
        <v>371</v>
      </c>
      <c r="I492" s="19" t="s">
        <v>93</v>
      </c>
      <c r="J492" s="133">
        <f>E478</f>
        <v>696.58699999999999</v>
      </c>
      <c r="K492" s="133">
        <f>F478</f>
        <v>576.23500000000001</v>
      </c>
    </row>
    <row r="493" spans="1:11">
      <c r="A493" s="128" t="s">
        <v>37</v>
      </c>
      <c r="B493" s="838" t="s">
        <v>153</v>
      </c>
      <c r="C493" s="131" t="s">
        <v>38</v>
      </c>
      <c r="D493" s="132" t="s">
        <v>106</v>
      </c>
      <c r="E493" s="324">
        <f>Vic!K40</f>
        <v>792.56199999999944</v>
      </c>
      <c r="F493" s="324">
        <f>Vic!L40</f>
        <v>502.80500000000001</v>
      </c>
      <c r="G493" s="150"/>
      <c r="H493" s="119" t="s">
        <v>372</v>
      </c>
      <c r="I493" s="19" t="s">
        <v>85</v>
      </c>
      <c r="J493" s="133">
        <f>E467</f>
        <v>2563.7000000000003</v>
      </c>
      <c r="K493" s="133">
        <f>F467</f>
        <v>3327.92</v>
      </c>
    </row>
    <row r="494" spans="1:11">
      <c r="A494" s="135"/>
      <c r="B494" s="839"/>
      <c r="C494" s="131" t="s">
        <v>39</v>
      </c>
      <c r="D494" s="132" t="s">
        <v>107</v>
      </c>
      <c r="E494" s="324">
        <f>Vic!K41</f>
        <v>2125.2039999999984</v>
      </c>
      <c r="F494" s="324">
        <f>Vic!L41</f>
        <v>1208.913</v>
      </c>
      <c r="G494" s="150"/>
      <c r="H494" s="119" t="s">
        <v>373</v>
      </c>
      <c r="I494" s="19" t="s">
        <v>374</v>
      </c>
      <c r="J494" s="133">
        <f t="shared" ref="J494:J496" si="120">E463</f>
        <v>23.023999999999994</v>
      </c>
      <c r="K494" s="133">
        <f t="shared" ref="K494:K496" si="121">F463</f>
        <v>3.0680000000000001</v>
      </c>
    </row>
    <row r="495" spans="1:11">
      <c r="A495" s="135"/>
      <c r="B495" s="839"/>
      <c r="C495" s="131" t="s">
        <v>40</v>
      </c>
      <c r="D495" s="132" t="s">
        <v>108</v>
      </c>
      <c r="E495" s="324">
        <f>Vic!K42</f>
        <v>95.921999999999997</v>
      </c>
      <c r="F495" s="324">
        <f>Vic!L42</f>
        <v>82.25</v>
      </c>
      <c r="G495" s="150"/>
      <c r="H495" s="119" t="s">
        <v>375</v>
      </c>
      <c r="I495" s="19" t="s">
        <v>82</v>
      </c>
      <c r="J495" s="133">
        <f t="shared" si="120"/>
        <v>3029.8910000000001</v>
      </c>
      <c r="K495" s="133">
        <f t="shared" si="121"/>
        <v>4143.1769999999997</v>
      </c>
    </row>
    <row r="496" spans="1:11">
      <c r="A496" s="136"/>
      <c r="B496" s="840"/>
      <c r="C496" s="131" t="s">
        <v>41</v>
      </c>
      <c r="D496" s="132" t="s">
        <v>109</v>
      </c>
      <c r="E496" s="324">
        <f>Vic!K43</f>
        <v>767.95199999999988</v>
      </c>
      <c r="F496" s="324">
        <f>Vic!L43</f>
        <v>936.61199999999997</v>
      </c>
      <c r="G496" s="150"/>
      <c r="H496" s="119" t="s">
        <v>376</v>
      </c>
      <c r="I496" s="19" t="s">
        <v>83</v>
      </c>
      <c r="J496" s="133">
        <f t="shared" si="120"/>
        <v>2997.065000000001</v>
      </c>
      <c r="K496" s="133">
        <f t="shared" si="121"/>
        <v>3499.6499999999996</v>
      </c>
    </row>
    <row r="497" spans="1:11">
      <c r="A497" s="128" t="s">
        <v>42</v>
      </c>
      <c r="B497" s="838" t="s">
        <v>154</v>
      </c>
      <c r="C497" s="131" t="s">
        <v>43</v>
      </c>
      <c r="D497" s="132" t="s">
        <v>110</v>
      </c>
      <c r="E497" s="324">
        <f>Vic!K44</f>
        <v>354.30399999999992</v>
      </c>
      <c r="F497" s="324">
        <f>Vic!L44</f>
        <v>315.214</v>
      </c>
      <c r="G497" s="150"/>
      <c r="H497" s="119" t="s">
        <v>377</v>
      </c>
      <c r="I497" s="19" t="s">
        <v>378</v>
      </c>
      <c r="J497" s="133">
        <f>E524</f>
        <v>28280.257000000056</v>
      </c>
      <c r="K497" s="133">
        <f>F524</f>
        <v>29453.052999999985</v>
      </c>
    </row>
    <row r="498" spans="1:11">
      <c r="A498" s="135"/>
      <c r="B498" s="839"/>
      <c r="C498" s="131" t="s">
        <v>44</v>
      </c>
      <c r="D498" s="132" t="s">
        <v>111</v>
      </c>
      <c r="E498" s="324">
        <f>Vic!K45</f>
        <v>5.2889999999999997</v>
      </c>
      <c r="F498" s="324">
        <f>Vic!L45</f>
        <v>8.0250000000000004</v>
      </c>
      <c r="G498" s="214" t="str">
        <f>G479</f>
        <v>Vic</v>
      </c>
      <c r="H498" s="119" t="s">
        <v>379</v>
      </c>
      <c r="I498" s="19" t="s">
        <v>176</v>
      </c>
      <c r="J498" s="133">
        <f>E498</f>
        <v>5.2889999999999997</v>
      </c>
      <c r="K498" s="133">
        <f>F498</f>
        <v>8.0250000000000004</v>
      </c>
    </row>
    <row r="499" spans="1:11">
      <c r="A499" s="136"/>
      <c r="B499" s="840"/>
      <c r="C499" s="131" t="s">
        <v>45</v>
      </c>
      <c r="D499" s="132" t="s">
        <v>155</v>
      </c>
      <c r="E499" s="324">
        <f>Vic!K46</f>
        <v>3.3939999999999997</v>
      </c>
      <c r="F499" s="324">
        <f>Vic!L46</f>
        <v>28.060000000000002</v>
      </c>
      <c r="G499" s="150"/>
      <c r="H499" s="119" t="s">
        <v>380</v>
      </c>
      <c r="I499" s="19" t="s">
        <v>381</v>
      </c>
      <c r="J499" s="133">
        <f>E512</f>
        <v>0</v>
      </c>
      <c r="K499" s="133">
        <f>F512</f>
        <v>0</v>
      </c>
    </row>
    <row r="500" spans="1:11">
      <c r="A500" s="128" t="s">
        <v>46</v>
      </c>
      <c r="B500" s="838" t="s">
        <v>156</v>
      </c>
      <c r="C500" s="131" t="s">
        <v>47</v>
      </c>
      <c r="D500" s="132" t="s">
        <v>112</v>
      </c>
      <c r="E500" s="324">
        <f>Vic!K47</f>
        <v>11121.943999999994</v>
      </c>
      <c r="F500" s="324">
        <f>Vic!L47</f>
        <v>12291.027</v>
      </c>
      <c r="G500" s="150"/>
      <c r="H500" s="119" t="s">
        <v>382</v>
      </c>
      <c r="I500" s="19" t="s">
        <v>383</v>
      </c>
      <c r="J500" s="133">
        <f>E508</f>
        <v>8</v>
      </c>
      <c r="K500" s="133">
        <f>F508</f>
        <v>0.03</v>
      </c>
    </row>
    <row r="501" spans="1:11">
      <c r="A501" s="135"/>
      <c r="B501" s="839"/>
      <c r="C501" s="131" t="s">
        <v>48</v>
      </c>
      <c r="D501" s="132" t="s">
        <v>157</v>
      </c>
      <c r="E501" s="324">
        <f>Vic!K48</f>
        <v>35063.442000000046</v>
      </c>
      <c r="F501" s="324">
        <f>Vic!L48</f>
        <v>28802.170999999998</v>
      </c>
      <c r="G501" s="150"/>
      <c r="H501" s="119" t="s">
        <v>384</v>
      </c>
      <c r="I501" s="19" t="s">
        <v>106</v>
      </c>
      <c r="J501" s="133">
        <f>E493</f>
        <v>792.56199999999944</v>
      </c>
      <c r="K501" s="133">
        <f>F493</f>
        <v>502.80500000000001</v>
      </c>
    </row>
    <row r="502" spans="1:11">
      <c r="A502" s="136"/>
      <c r="B502" s="840"/>
      <c r="C502" s="131" t="s">
        <v>49</v>
      </c>
      <c r="D502" s="132" t="s">
        <v>158</v>
      </c>
      <c r="E502" s="324">
        <f>Vic!K49</f>
        <v>64.385999999999996</v>
      </c>
      <c r="F502" s="324">
        <f>Vic!L49</f>
        <v>67.33</v>
      </c>
      <c r="G502" s="150"/>
      <c r="H502" s="119" t="s">
        <v>385</v>
      </c>
      <c r="I502" s="19" t="s">
        <v>108</v>
      </c>
      <c r="J502" s="133">
        <f>E495</f>
        <v>95.921999999999997</v>
      </c>
      <c r="K502" s="133">
        <f>F495</f>
        <v>82.25</v>
      </c>
    </row>
    <row r="503" spans="1:11">
      <c r="A503" s="128" t="s">
        <v>50</v>
      </c>
      <c r="B503" s="838" t="s">
        <v>159</v>
      </c>
      <c r="C503" s="131" t="s">
        <v>51</v>
      </c>
      <c r="D503" s="132" t="s">
        <v>113</v>
      </c>
      <c r="E503" s="324">
        <f>Vic!K50</f>
        <v>19382.513000000006</v>
      </c>
      <c r="F503" s="324">
        <f>Vic!L50</f>
        <v>21108.399999999994</v>
      </c>
      <c r="G503" s="150"/>
      <c r="H503" s="119" t="s">
        <v>386</v>
      </c>
      <c r="I503" s="19" t="s">
        <v>107</v>
      </c>
      <c r="J503" s="133">
        <f>E494</f>
        <v>2125.2039999999984</v>
      </c>
      <c r="K503" s="133">
        <f>F494</f>
        <v>1208.913</v>
      </c>
    </row>
    <row r="504" spans="1:11">
      <c r="A504" s="135"/>
      <c r="B504" s="839"/>
      <c r="C504" s="131" t="s">
        <v>115</v>
      </c>
      <c r="D504" s="132" t="s">
        <v>114</v>
      </c>
      <c r="E504" s="324">
        <f>Vic!K51</f>
        <v>48698.314000000079</v>
      </c>
      <c r="F504" s="324">
        <f>Vic!L51</f>
        <v>50261.048999999992</v>
      </c>
      <c r="G504" s="150"/>
      <c r="H504" s="119" t="s">
        <v>387</v>
      </c>
      <c r="I504" s="19" t="s">
        <v>388</v>
      </c>
      <c r="J504" s="133">
        <f t="shared" ref="J504:J505" si="122">E510</f>
        <v>0</v>
      </c>
      <c r="K504" s="133">
        <f t="shared" ref="K504:K505" si="123">F510</f>
        <v>0</v>
      </c>
    </row>
    <row r="505" spans="1:11">
      <c r="A505" s="135"/>
      <c r="B505" s="839"/>
      <c r="C505" s="131" t="s">
        <v>52</v>
      </c>
      <c r="D505" s="132" t="s">
        <v>116</v>
      </c>
      <c r="E505" s="324">
        <f>Vic!K52</f>
        <v>171.34</v>
      </c>
      <c r="F505" s="324">
        <f>Vic!L52</f>
        <v>214.5</v>
      </c>
      <c r="G505" s="150"/>
      <c r="H505" s="119" t="s">
        <v>389</v>
      </c>
      <c r="I505" s="19" t="s">
        <v>390</v>
      </c>
      <c r="J505" s="133">
        <f t="shared" si="122"/>
        <v>0</v>
      </c>
      <c r="K505" s="133">
        <f t="shared" si="123"/>
        <v>0</v>
      </c>
    </row>
    <row r="506" spans="1:11">
      <c r="A506" s="136"/>
      <c r="B506" s="840"/>
      <c r="C506" s="131" t="s">
        <v>118</v>
      </c>
      <c r="D506" s="132" t="s">
        <v>117</v>
      </c>
      <c r="E506" s="324">
        <f>Vic!K53</f>
        <v>171.34</v>
      </c>
      <c r="F506" s="324">
        <f>Vic!L53</f>
        <v>214.5</v>
      </c>
      <c r="G506" s="150"/>
      <c r="H506" s="119" t="s">
        <v>391</v>
      </c>
      <c r="I506" s="19" t="s">
        <v>392</v>
      </c>
      <c r="J506" s="133">
        <f>E509</f>
        <v>8.3999999999999991E-2</v>
      </c>
      <c r="K506" s="133">
        <f>F509</f>
        <v>1.08</v>
      </c>
    </row>
    <row r="507" spans="1:11" ht="25.5">
      <c r="A507" s="128" t="s">
        <v>53</v>
      </c>
      <c r="B507" s="838" t="s">
        <v>54</v>
      </c>
      <c r="C507" s="131" t="s">
        <v>55</v>
      </c>
      <c r="D507" s="145" t="s">
        <v>160</v>
      </c>
      <c r="E507" s="324">
        <f>Vic!K54</f>
        <v>71.478999999999999</v>
      </c>
      <c r="F507" s="324">
        <f>Vic!L54</f>
        <v>236.565</v>
      </c>
      <c r="G507" s="150"/>
      <c r="H507" s="120"/>
      <c r="I507" s="63" t="s">
        <v>405</v>
      </c>
      <c r="J507" s="137"/>
      <c r="K507" s="138"/>
    </row>
    <row r="508" spans="1:11">
      <c r="A508" s="135"/>
      <c r="B508" s="839"/>
      <c r="C508" s="131" t="s">
        <v>56</v>
      </c>
      <c r="D508" s="132" t="s">
        <v>161</v>
      </c>
      <c r="E508" s="324">
        <f>Vic!K55</f>
        <v>8</v>
      </c>
      <c r="F508" s="324">
        <f>Vic!L55</f>
        <v>0.03</v>
      </c>
      <c r="G508" s="150"/>
      <c r="H508" s="119" t="s">
        <v>393</v>
      </c>
      <c r="I508" s="19" t="s">
        <v>394</v>
      </c>
      <c r="J508" s="163">
        <f>'Gap data 2'!$B$17*'Gap data 2'!H6</f>
        <v>1655283.3422591058</v>
      </c>
      <c r="K508" s="163">
        <f>'Gap data 2'!$B$17*'Gap data 2'!H7</f>
        <v>1670759.7985861464</v>
      </c>
    </row>
    <row r="509" spans="1:11">
      <c r="A509" s="135"/>
      <c r="B509" s="839"/>
      <c r="C509" s="131" t="s">
        <v>57</v>
      </c>
      <c r="D509" s="132" t="s">
        <v>162</v>
      </c>
      <c r="E509" s="324">
        <f>Vic!K56</f>
        <v>8.3999999999999991E-2</v>
      </c>
      <c r="F509" s="324">
        <f>Vic!L56</f>
        <v>1.08</v>
      </c>
      <c r="G509" s="150"/>
      <c r="H509" s="119" t="s">
        <v>395</v>
      </c>
      <c r="I509" s="19" t="s">
        <v>396</v>
      </c>
      <c r="J509" s="221">
        <v>0</v>
      </c>
      <c r="K509" s="221">
        <v>0</v>
      </c>
    </row>
    <row r="510" spans="1:11">
      <c r="A510" s="135"/>
      <c r="B510" s="839"/>
      <c r="C510" s="131" t="s">
        <v>120</v>
      </c>
      <c r="D510" s="132" t="s">
        <v>119</v>
      </c>
      <c r="E510" s="323"/>
      <c r="F510" s="323"/>
      <c r="G510" s="150"/>
      <c r="H510" s="72"/>
      <c r="I510" s="146" t="s">
        <v>408</v>
      </c>
      <c r="J510" s="147"/>
      <c r="K510" s="148"/>
    </row>
    <row r="511" spans="1:11">
      <c r="A511" s="135"/>
      <c r="B511" s="839"/>
      <c r="C511" s="131" t="s">
        <v>122</v>
      </c>
      <c r="D511" s="132" t="s">
        <v>121</v>
      </c>
      <c r="E511" s="323"/>
      <c r="F511" s="323"/>
      <c r="G511" s="150"/>
      <c r="H511" s="121">
        <v>1</v>
      </c>
      <c r="I511" s="132" t="s">
        <v>397</v>
      </c>
      <c r="J511" s="80">
        <f>SUM(E476:E477,E482:E483)</f>
        <v>65.502999999999986</v>
      </c>
      <c r="K511" s="80">
        <f>SUM(F476:F477,F482:F483)</f>
        <v>15.94</v>
      </c>
    </row>
    <row r="512" spans="1:11">
      <c r="A512" s="135"/>
      <c r="B512" s="839"/>
      <c r="C512" s="131" t="s">
        <v>124</v>
      </c>
      <c r="D512" s="132" t="s">
        <v>123</v>
      </c>
      <c r="E512" s="323"/>
      <c r="F512" s="323"/>
      <c r="G512" s="150"/>
      <c r="H512" s="121">
        <v>2</v>
      </c>
      <c r="I512" s="132" t="s">
        <v>398</v>
      </c>
      <c r="J512" s="80">
        <f>SUM(E484:E486,E489)</f>
        <v>588.62599999999998</v>
      </c>
      <c r="K512" s="80">
        <f>SUM(F484:F486,F489)</f>
        <v>499.02999999999992</v>
      </c>
    </row>
    <row r="513" spans="1:11">
      <c r="A513" s="135"/>
      <c r="B513" s="839"/>
      <c r="C513" s="131" t="s">
        <v>58</v>
      </c>
      <c r="D513" s="132" t="s">
        <v>136</v>
      </c>
      <c r="E513" s="324">
        <f>Vic!K60</f>
        <v>7.351</v>
      </c>
      <c r="F513" s="324">
        <f>Vic!L60</f>
        <v>15.200000000000001</v>
      </c>
      <c r="G513" s="150"/>
      <c r="H513" s="121">
        <v>3</v>
      </c>
      <c r="I513" s="132" t="s">
        <v>323</v>
      </c>
      <c r="J513" s="80">
        <f>SUM(E513:E516)</f>
        <v>331.10200000000009</v>
      </c>
      <c r="K513" s="80">
        <f>SUM(F513:F516)</f>
        <v>284.71900000000005</v>
      </c>
    </row>
    <row r="514" spans="1:11">
      <c r="A514" s="135"/>
      <c r="B514" s="839"/>
      <c r="C514" s="131" t="s">
        <v>59</v>
      </c>
      <c r="D514" s="132" t="s">
        <v>125</v>
      </c>
      <c r="E514" s="324">
        <f>Vic!K61</f>
        <v>49.975999999999999</v>
      </c>
      <c r="F514" s="324">
        <f>Vic!L61</f>
        <v>69.756</v>
      </c>
      <c r="G514" s="150"/>
      <c r="H514" s="121">
        <v>4</v>
      </c>
      <c r="I514" s="132" t="s">
        <v>159</v>
      </c>
      <c r="J514" s="80">
        <f t="shared" ref="J514" si="124">SUM(E503:E506)</f>
        <v>68423.507000000071</v>
      </c>
      <c r="K514" s="80">
        <f>SUM(F503:F506)</f>
        <v>71798.448999999993</v>
      </c>
    </row>
    <row r="515" spans="1:11" ht="25.5">
      <c r="A515" s="135"/>
      <c r="B515" s="839"/>
      <c r="C515" s="131" t="s">
        <v>60</v>
      </c>
      <c r="D515" s="145" t="s">
        <v>163</v>
      </c>
      <c r="E515" s="324">
        <f>Vic!K62</f>
        <v>263.28500000000008</v>
      </c>
      <c r="F515" s="324">
        <f>Vic!L62</f>
        <v>199.71300000000002</v>
      </c>
      <c r="G515" s="150"/>
      <c r="H515" s="121">
        <v>5</v>
      </c>
      <c r="I515" s="142" t="s">
        <v>399</v>
      </c>
      <c r="J515" s="80">
        <f>E517</f>
        <v>11413.415999999988</v>
      </c>
      <c r="K515" s="80">
        <f>F517</f>
        <v>12323.835999999999</v>
      </c>
    </row>
    <row r="516" spans="1:11">
      <c r="A516" s="136"/>
      <c r="B516" s="840"/>
      <c r="C516" s="131" t="s">
        <v>61</v>
      </c>
      <c r="D516" s="132" t="s">
        <v>126</v>
      </c>
      <c r="E516" s="324">
        <f>Vic!K63</f>
        <v>10.49</v>
      </c>
      <c r="F516" s="324">
        <f>Vic!L63</f>
        <v>0.05</v>
      </c>
      <c r="G516" s="150"/>
      <c r="H516" s="58">
        <v>6</v>
      </c>
      <c r="I516" s="248" t="s">
        <v>468</v>
      </c>
      <c r="J516" s="425">
        <f t="shared" ref="J516" si="125">E518</f>
        <v>146413.60599999991</v>
      </c>
      <c r="K516" s="425">
        <f t="shared" ref="K516" si="126">F518</f>
        <v>174525.77499999999</v>
      </c>
    </row>
    <row r="517" spans="1:11">
      <c r="A517" s="128" t="s">
        <v>62</v>
      </c>
      <c r="B517" s="838" t="s">
        <v>164</v>
      </c>
      <c r="C517" s="131" t="s">
        <v>63</v>
      </c>
      <c r="D517" s="132" t="s">
        <v>165</v>
      </c>
      <c r="E517" s="324">
        <f>Vic!K64</f>
        <v>11413.415999999988</v>
      </c>
      <c r="F517" s="324">
        <f>Vic!L64</f>
        <v>12323.835999999999</v>
      </c>
      <c r="H517" s="58">
        <v>7</v>
      </c>
      <c r="I517" s="248" t="s">
        <v>469</v>
      </c>
      <c r="J517" s="425">
        <f>SUM(E519,E522)</f>
        <v>2654.5520000000001</v>
      </c>
      <c r="K517" s="425">
        <f>SUM(F519,F522)</f>
        <v>2851.08</v>
      </c>
    </row>
    <row r="518" spans="1:11">
      <c r="A518" s="135"/>
      <c r="B518" s="839"/>
      <c r="C518" s="131" t="s">
        <v>64</v>
      </c>
      <c r="D518" s="132" t="s">
        <v>127</v>
      </c>
      <c r="E518" s="324">
        <f>Vic!K65</f>
        <v>146413.60599999991</v>
      </c>
      <c r="F518" s="324">
        <f>Vic!L65</f>
        <v>174525.77499999999</v>
      </c>
      <c r="G518" s="214" t="str">
        <f>G498</f>
        <v>Vic</v>
      </c>
      <c r="H518" s="58">
        <v>8</v>
      </c>
      <c r="I518" s="76" t="s">
        <v>133</v>
      </c>
      <c r="J518" s="80">
        <f>E531</f>
        <v>43936.718569737743</v>
      </c>
      <c r="K518" s="80">
        <f>F531</f>
        <v>43936.718569737743</v>
      </c>
    </row>
    <row r="519" spans="1:11">
      <c r="A519" s="135"/>
      <c r="B519" s="839"/>
      <c r="C519" s="131" t="s">
        <v>65</v>
      </c>
      <c r="D519" s="132" t="s">
        <v>166</v>
      </c>
      <c r="E519" s="324">
        <f>Vic!K66</f>
        <v>120</v>
      </c>
      <c r="F519" s="324">
        <f>Vic!L66</f>
        <v>82.1</v>
      </c>
      <c r="G519" s="36"/>
      <c r="H519" s="181"/>
      <c r="I519" s="181"/>
      <c r="J519" s="181"/>
      <c r="K519" s="181"/>
    </row>
    <row r="520" spans="1:11">
      <c r="A520" s="135"/>
      <c r="B520" s="839"/>
      <c r="C520" s="131" t="s">
        <v>66</v>
      </c>
      <c r="D520" s="132" t="s">
        <v>173</v>
      </c>
      <c r="E520" s="324">
        <f>Vic!K67</f>
        <v>141.94800000000001</v>
      </c>
      <c r="F520" s="324">
        <f>Vic!L67</f>
        <v>243.53</v>
      </c>
      <c r="G520" s="36"/>
      <c r="H520" s="181"/>
      <c r="I520" s="181"/>
      <c r="J520" s="181"/>
      <c r="K520" s="181"/>
    </row>
    <row r="521" spans="1:11">
      <c r="A521" s="135"/>
      <c r="B521" s="839"/>
      <c r="C521" s="131" t="s">
        <v>67</v>
      </c>
      <c r="D521" s="132" t="s">
        <v>174</v>
      </c>
      <c r="E521" s="324">
        <f>Vic!K68</f>
        <v>10143.978000000001</v>
      </c>
      <c r="F521" s="324">
        <f>Vic!L68</f>
        <v>11189.162</v>
      </c>
      <c r="G521" s="36"/>
      <c r="H521" s="181"/>
      <c r="I521" s="181"/>
      <c r="J521" s="181"/>
      <c r="K521" s="181"/>
    </row>
    <row r="522" spans="1:11">
      <c r="A522" s="135"/>
      <c r="B522" s="839"/>
      <c r="C522" s="131" t="s">
        <v>68</v>
      </c>
      <c r="D522" s="132" t="s">
        <v>175</v>
      </c>
      <c r="E522" s="324">
        <f>Vic!K69</f>
        <v>2534.5520000000001</v>
      </c>
      <c r="F522" s="324">
        <f>Vic!L69</f>
        <v>2768.98</v>
      </c>
      <c r="G522" s="36"/>
      <c r="H522" s="181"/>
      <c r="I522" s="181"/>
      <c r="J522" s="181"/>
      <c r="K522" s="181"/>
    </row>
    <row r="523" spans="1:11">
      <c r="A523" s="135"/>
      <c r="B523" s="839"/>
      <c r="C523" s="131" t="s">
        <v>128</v>
      </c>
      <c r="D523" s="132" t="s">
        <v>167</v>
      </c>
      <c r="E523" s="325">
        <f>IF(ISNUMBER(Vic!K70),Vic!K70,0)+'Gap data 2'!$H$32</f>
        <v>214751.11111111112</v>
      </c>
      <c r="F523" s="325">
        <f>IF(ISNUMBER(Vic!L70),Vic!L70,0)+'Gap data 2'!$H$32</f>
        <v>214751.11111111112</v>
      </c>
      <c r="G523" s="36"/>
      <c r="H523" s="181"/>
      <c r="I523" s="181"/>
      <c r="J523" s="181"/>
      <c r="K523" s="181"/>
    </row>
    <row r="524" spans="1:11">
      <c r="A524" s="135"/>
      <c r="B524" s="839"/>
      <c r="C524" s="131" t="s">
        <v>69</v>
      </c>
      <c r="D524" s="132" t="s">
        <v>129</v>
      </c>
      <c r="E524" s="324">
        <f>Vic!K71</f>
        <v>28280.257000000056</v>
      </c>
      <c r="F524" s="324">
        <f>Vic!L71</f>
        <v>29453.052999999985</v>
      </c>
      <c r="G524" s="36"/>
      <c r="H524" s="181"/>
      <c r="I524" s="181"/>
      <c r="J524" s="181"/>
      <c r="K524" s="181"/>
    </row>
    <row r="525" spans="1:11">
      <c r="A525" s="136"/>
      <c r="B525" s="840"/>
      <c r="C525" s="131" t="s">
        <v>70</v>
      </c>
      <c r="D525" s="132" t="s">
        <v>168</v>
      </c>
      <c r="E525" s="324">
        <f>Vic!K72</f>
        <v>51.879999999999995</v>
      </c>
      <c r="F525" s="324">
        <f>Vic!L72</f>
        <v>84.72</v>
      </c>
      <c r="G525" s="36"/>
      <c r="H525" s="181"/>
      <c r="I525" s="181"/>
      <c r="J525" s="181"/>
      <c r="K525" s="181"/>
    </row>
    <row r="526" spans="1:11">
      <c r="A526" s="128" t="s">
        <v>71</v>
      </c>
      <c r="B526" s="838" t="s">
        <v>169</v>
      </c>
      <c r="C526" s="131" t="s">
        <v>72</v>
      </c>
      <c r="D526" s="132" t="s">
        <v>170</v>
      </c>
      <c r="E526" s="324">
        <f>Vic!K73</f>
        <v>5313.0449999999973</v>
      </c>
      <c r="F526" s="324">
        <f>Vic!L73</f>
        <v>5398.2180000000008</v>
      </c>
      <c r="G526" s="36"/>
      <c r="H526" s="181"/>
      <c r="I526" s="181"/>
      <c r="J526" s="181"/>
      <c r="K526" s="181"/>
    </row>
    <row r="527" spans="1:11">
      <c r="A527" s="135"/>
      <c r="B527" s="839"/>
      <c r="C527" s="131" t="s">
        <v>73</v>
      </c>
      <c r="D527" s="132" t="s">
        <v>130</v>
      </c>
      <c r="E527" s="324">
        <f>Vic!K74</f>
        <v>472.36099999999982</v>
      </c>
      <c r="F527" s="324">
        <f>Vic!L74</f>
        <v>247.98399999999998</v>
      </c>
      <c r="G527" s="36"/>
      <c r="H527" s="181"/>
      <c r="I527" s="181"/>
      <c r="J527" s="181"/>
      <c r="K527" s="181"/>
    </row>
    <row r="528" spans="1:11">
      <c r="A528" s="136"/>
      <c r="B528" s="840"/>
      <c r="C528" s="131" t="s">
        <v>74</v>
      </c>
      <c r="D528" s="132" t="s">
        <v>131</v>
      </c>
      <c r="E528" s="324">
        <f>Vic!K75</f>
        <v>404.83299999999997</v>
      </c>
      <c r="F528" s="324">
        <f>Vic!L75</f>
        <v>305.98</v>
      </c>
      <c r="G528" s="36"/>
      <c r="H528" s="181"/>
      <c r="I528" s="181"/>
      <c r="J528" s="181"/>
      <c r="K528" s="181"/>
    </row>
    <row r="529" spans="1:11" ht="38.25">
      <c r="A529" s="128" t="s">
        <v>75</v>
      </c>
      <c r="B529" s="838" t="s">
        <v>76</v>
      </c>
      <c r="C529" s="131" t="s">
        <v>77</v>
      </c>
      <c r="D529" s="145" t="s">
        <v>171</v>
      </c>
      <c r="E529" s="324">
        <f>Vic!K76</f>
        <v>657.35499999999934</v>
      </c>
      <c r="F529" s="324">
        <f>Vic!L76</f>
        <v>550.38700000000006</v>
      </c>
      <c r="G529" s="36"/>
      <c r="H529" s="181"/>
      <c r="I529" s="181"/>
      <c r="J529" s="181"/>
      <c r="K529" s="181"/>
    </row>
    <row r="530" spans="1:11">
      <c r="A530" s="135"/>
      <c r="B530" s="839"/>
      <c r="C530" s="131" t="s">
        <v>78</v>
      </c>
      <c r="D530" s="132" t="s">
        <v>132</v>
      </c>
      <c r="E530" s="324">
        <f>Vic!K77</f>
        <v>263.78399999999999</v>
      </c>
      <c r="F530" s="324">
        <f>Vic!L77</f>
        <v>212.29899999999998</v>
      </c>
      <c r="G530" s="36"/>
      <c r="H530" s="181"/>
      <c r="I530" s="181"/>
      <c r="J530" s="181"/>
      <c r="K530" s="181"/>
    </row>
    <row r="531" spans="1:11">
      <c r="A531" s="135"/>
      <c r="B531" s="839"/>
      <c r="C531" s="131" t="s">
        <v>134</v>
      </c>
      <c r="D531" s="132" t="s">
        <v>133</v>
      </c>
      <c r="E531" s="163">
        <f>'Gap data 2'!$H$29</f>
        <v>43936.718569737743</v>
      </c>
      <c r="F531" s="163">
        <f>'Gap data 2'!$H$29</f>
        <v>43936.718569737743</v>
      </c>
      <c r="G531" s="36"/>
      <c r="H531" s="181"/>
      <c r="I531" s="181"/>
      <c r="J531" s="181"/>
      <c r="K531" s="181"/>
    </row>
    <row r="532" spans="1:11">
      <c r="A532" s="136"/>
      <c r="B532" s="840"/>
      <c r="C532" s="131" t="s">
        <v>172</v>
      </c>
      <c r="D532" s="132" t="s">
        <v>135</v>
      </c>
      <c r="E532" s="324">
        <f>Vic!K79</f>
        <v>0.73199999999999998</v>
      </c>
      <c r="F532" s="324">
        <f>Vic!L79</f>
        <v>5.2399999999999993</v>
      </c>
      <c r="G532" s="36"/>
      <c r="H532" s="181"/>
      <c r="I532" s="181"/>
      <c r="J532" s="181"/>
      <c r="K532" s="181"/>
    </row>
    <row r="533" spans="1:11">
      <c r="G533" s="36"/>
      <c r="H533" s="181"/>
      <c r="I533" s="181"/>
      <c r="J533" s="181"/>
      <c r="K533" s="181"/>
    </row>
    <row r="534" spans="1:11" s="213" customFormat="1" ht="15.75">
      <c r="A534" s="213" t="s">
        <v>450</v>
      </c>
      <c r="G534" s="212"/>
      <c r="H534" s="213" t="str">
        <f>A534</f>
        <v>Adjusted WA data</v>
      </c>
    </row>
    <row r="536" spans="1:11">
      <c r="A536" s="105" t="s">
        <v>3</v>
      </c>
      <c r="B536" s="814" t="s">
        <v>137</v>
      </c>
      <c r="C536" s="49" t="s">
        <v>4</v>
      </c>
      <c r="D536" s="76" t="s">
        <v>79</v>
      </c>
      <c r="E536" s="80">
        <f>WA!L8</f>
        <v>288.22400000000005</v>
      </c>
      <c r="F536" s="80">
        <f>WA!M8</f>
        <v>127.6964</v>
      </c>
      <c r="G536" s="150"/>
      <c r="H536" s="119" t="s">
        <v>324</v>
      </c>
      <c r="I536" s="18" t="s">
        <v>325</v>
      </c>
      <c r="J536" s="122">
        <f t="shared" ref="J536:K536" si="127">E601</f>
        <v>1868.3677599999719</v>
      </c>
      <c r="K536" s="122">
        <f t="shared" si="127"/>
        <v>1420.6273139999744</v>
      </c>
    </row>
    <row r="537" spans="1:11">
      <c r="A537" s="106"/>
      <c r="B537" s="942"/>
      <c r="C537" s="49" t="s">
        <v>138</v>
      </c>
      <c r="D537" s="76" t="s">
        <v>139</v>
      </c>
      <c r="E537" s="80">
        <f>WA!L9</f>
        <v>0</v>
      </c>
      <c r="F537" s="80">
        <f>WA!M9</f>
        <v>0</v>
      </c>
      <c r="G537" s="150"/>
      <c r="H537" s="119" t="s">
        <v>326</v>
      </c>
      <c r="I537" s="18" t="s">
        <v>327</v>
      </c>
      <c r="J537" s="122">
        <f t="shared" ref="J537:K537" si="128">E603</f>
        <v>0</v>
      </c>
      <c r="K537" s="122">
        <f t="shared" si="128"/>
        <v>0</v>
      </c>
    </row>
    <row r="538" spans="1:11">
      <c r="A538" s="107"/>
      <c r="B538" s="815"/>
      <c r="C538" s="49" t="s">
        <v>81</v>
      </c>
      <c r="D538" s="76" t="s">
        <v>80</v>
      </c>
      <c r="E538" s="80">
        <f>WA!L10</f>
        <v>29.312000000000001</v>
      </c>
      <c r="F538" s="80">
        <f>WA!M10</f>
        <v>22.882000000000001</v>
      </c>
      <c r="G538" s="150"/>
      <c r="H538" s="119" t="s">
        <v>328</v>
      </c>
      <c r="I538" s="18" t="s">
        <v>130</v>
      </c>
      <c r="J538" s="122">
        <f t="shared" ref="J538:K538" si="129">E602</f>
        <v>0</v>
      </c>
      <c r="K538" s="122">
        <f t="shared" si="129"/>
        <v>0</v>
      </c>
    </row>
    <row r="539" spans="1:11">
      <c r="A539" s="58" t="s">
        <v>5</v>
      </c>
      <c r="B539" s="48" t="s">
        <v>6</v>
      </c>
      <c r="C539" s="49" t="s">
        <v>7</v>
      </c>
      <c r="D539" s="76" t="s">
        <v>82</v>
      </c>
      <c r="E539" s="80">
        <f>WA!L11</f>
        <v>2014.0300999999995</v>
      </c>
      <c r="F539" s="80">
        <f>WA!M11</f>
        <v>1880.1852999999981</v>
      </c>
      <c r="G539" s="150"/>
      <c r="H539" s="119" t="s">
        <v>329</v>
      </c>
      <c r="I539" s="18" t="s">
        <v>330</v>
      </c>
      <c r="J539" s="123">
        <f t="shared" ref="J539:K539" si="130">E572</f>
        <v>0</v>
      </c>
      <c r="K539" s="123">
        <f t="shared" si="130"/>
        <v>0.42500000000000004</v>
      </c>
    </row>
    <row r="540" spans="1:11">
      <c r="A540" s="58" t="s">
        <v>8</v>
      </c>
      <c r="B540" s="48" t="s">
        <v>140</v>
      </c>
      <c r="C540" s="49" t="s">
        <v>9</v>
      </c>
      <c r="D540" s="76" t="s">
        <v>83</v>
      </c>
      <c r="E540" s="80">
        <f>WA!L12</f>
        <v>42102.600259999897</v>
      </c>
      <c r="F540" s="80">
        <f>WA!M12</f>
        <v>46230.26849999986</v>
      </c>
      <c r="G540" s="150"/>
      <c r="H540" s="119" t="s">
        <v>331</v>
      </c>
      <c r="I540" s="18" t="s">
        <v>332</v>
      </c>
      <c r="J540" s="123">
        <f t="shared" ref="J540:K540" si="131">E574</f>
        <v>14.77</v>
      </c>
      <c r="K540" s="123">
        <f t="shared" si="131"/>
        <v>4.84</v>
      </c>
    </row>
    <row r="541" spans="1:11">
      <c r="A541" s="47" t="s">
        <v>10</v>
      </c>
      <c r="B541" s="814" t="s">
        <v>11</v>
      </c>
      <c r="C541" s="49" t="s">
        <v>12</v>
      </c>
      <c r="D541" s="76" t="s">
        <v>84</v>
      </c>
      <c r="E541" s="80">
        <f>WA!L13</f>
        <v>0.76</v>
      </c>
      <c r="F541" s="80">
        <f>WA!M13</f>
        <v>1.32</v>
      </c>
      <c r="G541" s="150"/>
      <c r="H541" s="119" t="s">
        <v>333</v>
      </c>
      <c r="I541" s="18" t="s">
        <v>334</v>
      </c>
      <c r="J541" s="124"/>
      <c r="K541" s="124"/>
    </row>
    <row r="542" spans="1:11">
      <c r="A542" s="52"/>
      <c r="B542" s="942"/>
      <c r="C542" s="49" t="s">
        <v>13</v>
      </c>
      <c r="D542" s="76" t="s">
        <v>85</v>
      </c>
      <c r="E542" s="80">
        <f>WA!L14</f>
        <v>0</v>
      </c>
      <c r="F542" s="80">
        <f>WA!M14</f>
        <v>10</v>
      </c>
      <c r="G542" s="150"/>
      <c r="H542" s="119" t="s">
        <v>335</v>
      </c>
      <c r="I542" s="18" t="s">
        <v>336</v>
      </c>
      <c r="J542" s="124"/>
      <c r="K542" s="124"/>
    </row>
    <row r="543" spans="1:11">
      <c r="A543" s="52"/>
      <c r="B543" s="942"/>
      <c r="C543" s="49" t="s">
        <v>14</v>
      </c>
      <c r="D543" s="76" t="s">
        <v>86</v>
      </c>
      <c r="E543" s="80">
        <f>WA!L15</f>
        <v>8.2580000000000009</v>
      </c>
      <c r="F543" s="80">
        <f>WA!M15</f>
        <v>34.319500000000012</v>
      </c>
      <c r="G543" s="150"/>
      <c r="H543" s="119" t="s">
        <v>337</v>
      </c>
      <c r="I543" s="18" t="s">
        <v>322</v>
      </c>
      <c r="J543" s="123">
        <f t="shared" ref="J543:K544" si="132">E575</f>
        <v>57789.872160000567</v>
      </c>
      <c r="K543" s="123">
        <f t="shared" si="132"/>
        <v>53305.720225000397</v>
      </c>
    </row>
    <row r="544" spans="1:11">
      <c r="A544" s="52"/>
      <c r="B544" s="942"/>
      <c r="C544" s="49" t="s">
        <v>15</v>
      </c>
      <c r="D544" s="76" t="s">
        <v>87</v>
      </c>
      <c r="E544" s="80">
        <f>WA!L16</f>
        <v>0.04</v>
      </c>
      <c r="F544" s="80">
        <f>WA!M16</f>
        <v>3.5000000000000001E-3</v>
      </c>
      <c r="G544" s="150"/>
      <c r="H544" s="119" t="s">
        <v>338</v>
      </c>
      <c r="I544" s="18" t="s">
        <v>339</v>
      </c>
      <c r="J544" s="123">
        <f t="shared" si="132"/>
        <v>28880.840400000434</v>
      </c>
      <c r="K544" s="123">
        <f t="shared" si="132"/>
        <v>25207.14299999996</v>
      </c>
    </row>
    <row r="545" spans="1:11">
      <c r="A545" s="52"/>
      <c r="B545" s="942"/>
      <c r="C545" s="49" t="s">
        <v>16</v>
      </c>
      <c r="D545" s="76" t="s">
        <v>88</v>
      </c>
      <c r="E545" s="80">
        <f>WA!L17</f>
        <v>19.326999999999998</v>
      </c>
      <c r="F545" s="80">
        <f>WA!M17</f>
        <v>70.532000000000011</v>
      </c>
      <c r="G545" s="150"/>
      <c r="H545" s="119" t="s">
        <v>340</v>
      </c>
      <c r="I545" s="18" t="s">
        <v>341</v>
      </c>
      <c r="J545" s="123">
        <f t="shared" ref="J545:K545" si="133">E582</f>
        <v>1.6369999999999998</v>
      </c>
      <c r="K545" s="123">
        <f t="shared" si="133"/>
        <v>5.5223000000000004</v>
      </c>
    </row>
    <row r="546" spans="1:11">
      <c r="A546" s="52"/>
      <c r="B546" s="942"/>
      <c r="C546" s="49" t="s">
        <v>17</v>
      </c>
      <c r="D546" s="76" t="s">
        <v>89</v>
      </c>
      <c r="E546" s="80">
        <f>WA!L18</f>
        <v>0.63</v>
      </c>
      <c r="F546" s="80">
        <f>WA!M18</f>
        <v>7.419999999999999</v>
      </c>
      <c r="G546" s="150"/>
      <c r="H546" s="119" t="s">
        <v>342</v>
      </c>
      <c r="I546" s="18" t="s">
        <v>343</v>
      </c>
      <c r="J546" s="123">
        <f t="shared" ref="J546:K546" si="134">E577</f>
        <v>1.5149999999999999</v>
      </c>
      <c r="K546" s="123">
        <f t="shared" si="134"/>
        <v>10.535</v>
      </c>
    </row>
    <row r="547" spans="1:11">
      <c r="A547" s="52"/>
      <c r="B547" s="942"/>
      <c r="C547" s="49" t="s">
        <v>18</v>
      </c>
      <c r="D547" s="76" t="s">
        <v>90</v>
      </c>
      <c r="E547" s="80">
        <f>WA!L19</f>
        <v>0.156</v>
      </c>
      <c r="F547" s="80">
        <f>WA!M19</f>
        <v>0.14000000000000001</v>
      </c>
      <c r="G547" s="150"/>
      <c r="H547" s="119" t="s">
        <v>344</v>
      </c>
      <c r="I547" s="18" t="s">
        <v>345</v>
      </c>
      <c r="J547" s="123">
        <f t="shared" ref="J547:K548" si="135">E566</f>
        <v>541.49698000000012</v>
      </c>
      <c r="K547" s="123">
        <f t="shared" si="135"/>
        <v>501.47590000000002</v>
      </c>
    </row>
    <row r="548" spans="1:11">
      <c r="A548" s="52"/>
      <c r="B548" s="942"/>
      <c r="C548" s="49" t="s">
        <v>19</v>
      </c>
      <c r="D548" s="76" t="s">
        <v>141</v>
      </c>
      <c r="E548" s="80">
        <f>WA!L20</f>
        <v>0.91199999999999992</v>
      </c>
      <c r="F548" s="80">
        <f>WA!M20</f>
        <v>2.9681000000000002</v>
      </c>
      <c r="G548" s="150"/>
      <c r="H548" s="119" t="s">
        <v>346</v>
      </c>
      <c r="I548" s="18" t="s">
        <v>347</v>
      </c>
      <c r="J548" s="123">
        <f t="shared" si="135"/>
        <v>359.89397999999989</v>
      </c>
      <c r="K548" s="123">
        <f t="shared" si="135"/>
        <v>483.08897500000023</v>
      </c>
    </row>
    <row r="549" spans="1:11">
      <c r="A549" s="52"/>
      <c r="B549" s="942"/>
      <c r="C549" s="49" t="s">
        <v>142</v>
      </c>
      <c r="D549" s="76" t="s">
        <v>143</v>
      </c>
      <c r="E549" s="80">
        <f>WA!L21</f>
        <v>0.2</v>
      </c>
      <c r="F549" s="80">
        <f>WA!M21</f>
        <v>0</v>
      </c>
      <c r="G549" s="150"/>
      <c r="H549" s="119" t="s">
        <v>348</v>
      </c>
      <c r="I549" s="18" t="s">
        <v>349</v>
      </c>
      <c r="J549" s="123">
        <f t="shared" ref="J549:K549" si="136">E604</f>
        <v>243.97452500000006</v>
      </c>
      <c r="K549" s="123">
        <f t="shared" si="136"/>
        <v>291.63421000000011</v>
      </c>
    </row>
    <row r="550" spans="1:11">
      <c r="A550" s="52"/>
      <c r="B550" s="942"/>
      <c r="C550" s="49" t="s">
        <v>20</v>
      </c>
      <c r="D550" s="76" t="s">
        <v>91</v>
      </c>
      <c r="E550" s="80">
        <f>WA!L22</f>
        <v>3</v>
      </c>
      <c r="F550" s="80">
        <f>WA!M22</f>
        <v>3.44</v>
      </c>
      <c r="G550" s="150"/>
      <c r="H550" s="119" t="s">
        <v>350</v>
      </c>
      <c r="I550" s="18" t="s">
        <v>351</v>
      </c>
      <c r="J550" s="123">
        <f>E607+E562+E563</f>
        <v>7.6780000000000017</v>
      </c>
      <c r="K550" s="123">
        <f>F607+F562+F563</f>
        <v>10.210000000000003</v>
      </c>
    </row>
    <row r="551" spans="1:11">
      <c r="A551" s="52"/>
      <c r="B551" s="942"/>
      <c r="C551" s="49" t="s">
        <v>21</v>
      </c>
      <c r="D551" s="76" t="s">
        <v>144</v>
      </c>
      <c r="E551" s="80">
        <f>WA!L23</f>
        <v>1.6</v>
      </c>
      <c r="F551" s="80">
        <f>WA!M23</f>
        <v>1</v>
      </c>
      <c r="G551" s="150"/>
      <c r="H551" s="119" t="s">
        <v>352</v>
      </c>
      <c r="I551" s="18" t="s">
        <v>353</v>
      </c>
      <c r="J551" s="123">
        <f t="shared" ref="J551:K551" si="137">E605</f>
        <v>3.1224499999999997</v>
      </c>
      <c r="K551" s="123">
        <f t="shared" si="137"/>
        <v>6.3480000000000016</v>
      </c>
    </row>
    <row r="552" spans="1:11">
      <c r="A552" s="52"/>
      <c r="B552" s="942"/>
      <c r="C552" s="49" t="s">
        <v>22</v>
      </c>
      <c r="D552" s="76" t="s">
        <v>92</v>
      </c>
      <c r="E552" s="80">
        <f>WA!L24</f>
        <v>3.5009999999999999</v>
      </c>
      <c r="F552" s="80">
        <f>WA!M24</f>
        <v>90.65100000000001</v>
      </c>
      <c r="G552" s="150"/>
      <c r="H552" s="119" t="s">
        <v>354</v>
      </c>
      <c r="I552" s="18" t="s">
        <v>355</v>
      </c>
      <c r="J552" s="123">
        <f t="shared" ref="J552:K552" si="138">E536</f>
        <v>288.22400000000005</v>
      </c>
      <c r="K552" s="123">
        <f t="shared" si="138"/>
        <v>127.6964</v>
      </c>
    </row>
    <row r="553" spans="1:11">
      <c r="A553" s="52"/>
      <c r="B553" s="942"/>
      <c r="C553" s="49" t="s">
        <v>23</v>
      </c>
      <c r="D553" s="76" t="s">
        <v>93</v>
      </c>
      <c r="E553" s="80">
        <f>WA!L25</f>
        <v>145.06100000000004</v>
      </c>
      <c r="F553" s="80">
        <f>WA!M25</f>
        <v>304.19750000000005</v>
      </c>
      <c r="G553" s="150"/>
      <c r="H553" s="119" t="s">
        <v>356</v>
      </c>
      <c r="I553" s="18" t="s">
        <v>357</v>
      </c>
      <c r="J553" s="123">
        <f t="shared" ref="J553:K553" si="139">E598+E595+E596</f>
        <v>71705.388646483872</v>
      </c>
      <c r="K553" s="123">
        <f t="shared" si="139"/>
        <v>72899.045881483849</v>
      </c>
    </row>
    <row r="554" spans="1:11">
      <c r="A554" s="52"/>
      <c r="B554" s="942"/>
      <c r="C554" s="49" t="s">
        <v>24</v>
      </c>
      <c r="D554" s="76" t="s">
        <v>94</v>
      </c>
      <c r="E554" s="80">
        <f>WA!L26</f>
        <v>227.233</v>
      </c>
      <c r="F554" s="80">
        <f>WA!M26</f>
        <v>646.10129999999992</v>
      </c>
      <c r="G554" s="214" t="s">
        <v>430</v>
      </c>
      <c r="H554" s="62"/>
      <c r="I554" s="63" t="s">
        <v>407</v>
      </c>
      <c r="J554" s="115"/>
      <c r="K554" s="116"/>
    </row>
    <row r="555" spans="1:11">
      <c r="A555" s="52"/>
      <c r="B555" s="942"/>
      <c r="C555" s="49" t="s">
        <v>25</v>
      </c>
      <c r="D555" s="76" t="s">
        <v>145</v>
      </c>
      <c r="E555" s="80">
        <f>WA!L27</f>
        <v>0</v>
      </c>
      <c r="F555" s="80">
        <f>WA!M27</f>
        <v>0</v>
      </c>
      <c r="G555" s="150"/>
      <c r="H555" s="119" t="s">
        <v>358</v>
      </c>
      <c r="I555" s="19" t="s">
        <v>84</v>
      </c>
      <c r="J555" s="122">
        <f t="shared" ref="J555:K555" si="140">E541</f>
        <v>0.76</v>
      </c>
      <c r="K555" s="122">
        <f t="shared" si="140"/>
        <v>1.32</v>
      </c>
    </row>
    <row r="556" spans="1:11">
      <c r="A556" s="52"/>
      <c r="B556" s="942"/>
      <c r="C556" s="49" t="s">
        <v>146</v>
      </c>
      <c r="D556" s="76" t="s">
        <v>147</v>
      </c>
      <c r="E556" s="80">
        <f>WA!L28</f>
        <v>5.0000000000000001E-3</v>
      </c>
      <c r="F556" s="80">
        <f>WA!M28</f>
        <v>0</v>
      </c>
      <c r="G556" s="150"/>
      <c r="H556" s="119" t="s">
        <v>359</v>
      </c>
      <c r="I556" s="19" t="s">
        <v>90</v>
      </c>
      <c r="J556" s="122">
        <f t="shared" ref="J556:K556" si="141">E547</f>
        <v>0.156</v>
      </c>
      <c r="K556" s="122">
        <f t="shared" si="141"/>
        <v>0.14000000000000001</v>
      </c>
    </row>
    <row r="557" spans="1:11">
      <c r="A557" s="52"/>
      <c r="B557" s="942"/>
      <c r="C557" s="49" t="s">
        <v>148</v>
      </c>
      <c r="D557" s="76" t="s">
        <v>149</v>
      </c>
      <c r="E557" s="80">
        <f>WA!L29</f>
        <v>0</v>
      </c>
      <c r="F557" s="80">
        <f>WA!M29</f>
        <v>0</v>
      </c>
      <c r="G557" s="150"/>
      <c r="H557" s="119" t="s">
        <v>360</v>
      </c>
      <c r="I557" s="19" t="s">
        <v>361</v>
      </c>
      <c r="J557" s="122">
        <f t="shared" ref="J557:K557" si="142">E545</f>
        <v>19.326999999999998</v>
      </c>
      <c r="K557" s="122">
        <f t="shared" si="142"/>
        <v>70.532000000000011</v>
      </c>
    </row>
    <row r="558" spans="1:11">
      <c r="A558" s="52"/>
      <c r="B558" s="942"/>
      <c r="C558" s="49" t="s">
        <v>26</v>
      </c>
      <c r="D558" s="76" t="s">
        <v>150</v>
      </c>
      <c r="E558" s="80">
        <f>WA!L30</f>
        <v>0.42500000000000004</v>
      </c>
      <c r="F558" s="80">
        <f>WA!M30</f>
        <v>2E-3</v>
      </c>
      <c r="G558" s="150"/>
      <c r="H558" s="119" t="s">
        <v>362</v>
      </c>
      <c r="I558" s="19" t="s">
        <v>91</v>
      </c>
      <c r="J558" s="122">
        <f t="shared" ref="J558:K558" si="143">E550</f>
        <v>3</v>
      </c>
      <c r="K558" s="122">
        <f t="shared" si="143"/>
        <v>3.44</v>
      </c>
    </row>
    <row r="559" spans="1:11">
      <c r="A559" s="52"/>
      <c r="B559" s="942"/>
      <c r="C559" s="49" t="s">
        <v>27</v>
      </c>
      <c r="D559" s="76" t="s">
        <v>95</v>
      </c>
      <c r="E559" s="80">
        <f>WA!L31</f>
        <v>5775.86</v>
      </c>
      <c r="F559" s="80">
        <f>WA!M31</f>
        <v>5273.4513000000006</v>
      </c>
      <c r="G559" s="150"/>
      <c r="H559" s="119" t="s">
        <v>363</v>
      </c>
      <c r="I559" s="19" t="s">
        <v>94</v>
      </c>
      <c r="J559" s="122">
        <f t="shared" ref="J559:K559" si="144">E554</f>
        <v>227.233</v>
      </c>
      <c r="K559" s="122">
        <f t="shared" si="144"/>
        <v>646.10129999999992</v>
      </c>
    </row>
    <row r="560" spans="1:11">
      <c r="A560" s="52"/>
      <c r="B560" s="942"/>
      <c r="C560" s="49" t="s">
        <v>28</v>
      </c>
      <c r="D560" s="76" t="s">
        <v>96</v>
      </c>
      <c r="E560" s="80">
        <f>WA!L32</f>
        <v>0</v>
      </c>
      <c r="F560" s="80">
        <f>WA!M32</f>
        <v>0.121</v>
      </c>
      <c r="G560" s="150"/>
      <c r="H560" s="119" t="s">
        <v>364</v>
      </c>
      <c r="I560" s="19" t="s">
        <v>87</v>
      </c>
      <c r="J560" s="122">
        <f t="shared" ref="J560:K560" si="145">E544</f>
        <v>0.04</v>
      </c>
      <c r="K560" s="122">
        <f t="shared" si="145"/>
        <v>3.5000000000000001E-3</v>
      </c>
    </row>
    <row r="561" spans="1:11">
      <c r="A561" s="52"/>
      <c r="B561" s="942"/>
      <c r="C561" s="49" t="s">
        <v>29</v>
      </c>
      <c r="D561" s="76" t="s">
        <v>97</v>
      </c>
      <c r="E561" s="80">
        <f>WA!L33</f>
        <v>18.059999999999999</v>
      </c>
      <c r="F561" s="80">
        <f>WA!M33</f>
        <v>1.65</v>
      </c>
      <c r="G561" s="150"/>
      <c r="H561" s="119" t="s">
        <v>365</v>
      </c>
      <c r="I561" s="19" t="s">
        <v>145</v>
      </c>
      <c r="J561" s="122">
        <f t="shared" ref="J561:K561" si="146">E555</f>
        <v>0</v>
      </c>
      <c r="K561" s="122">
        <f t="shared" si="146"/>
        <v>0</v>
      </c>
    </row>
    <row r="562" spans="1:11">
      <c r="A562" s="52"/>
      <c r="B562" s="942"/>
      <c r="C562" s="49" t="s">
        <v>99</v>
      </c>
      <c r="D562" s="76" t="s">
        <v>98</v>
      </c>
      <c r="E562" s="80">
        <f>WA!L34</f>
        <v>4.5730000000000022</v>
      </c>
      <c r="F562" s="80">
        <f>WA!M34</f>
        <v>3.9750000000000014</v>
      </c>
      <c r="G562" s="150"/>
      <c r="H562" s="119" t="s">
        <v>366</v>
      </c>
      <c r="I562" s="19" t="s">
        <v>89</v>
      </c>
      <c r="J562" s="122">
        <f t="shared" ref="J562:K562" si="147">E546</f>
        <v>0.63</v>
      </c>
      <c r="K562" s="122">
        <f t="shared" si="147"/>
        <v>7.419999999999999</v>
      </c>
    </row>
    <row r="563" spans="1:11">
      <c r="A563" s="52"/>
      <c r="B563" s="942"/>
      <c r="C563" s="49" t="s">
        <v>101</v>
      </c>
      <c r="D563" s="76" t="s">
        <v>100</v>
      </c>
      <c r="E563" s="80">
        <f>WA!L35</f>
        <v>1.0049999999999999</v>
      </c>
      <c r="F563" s="80">
        <f>WA!M35</f>
        <v>5.660000000000001</v>
      </c>
      <c r="G563" s="150"/>
      <c r="H563" s="119" t="s">
        <v>367</v>
      </c>
      <c r="I563" s="19" t="s">
        <v>141</v>
      </c>
      <c r="J563" s="122">
        <f t="shared" ref="J563:K563" si="148">E548</f>
        <v>0.91199999999999992</v>
      </c>
      <c r="K563" s="122">
        <f t="shared" si="148"/>
        <v>2.9681000000000002</v>
      </c>
    </row>
    <row r="564" spans="1:11">
      <c r="A564" s="55"/>
      <c r="B564" s="815"/>
      <c r="C564" s="49" t="s">
        <v>30</v>
      </c>
      <c r="D564" s="76" t="s">
        <v>151</v>
      </c>
      <c r="E564" s="80">
        <f>WA!L36</f>
        <v>0.60499999999999998</v>
      </c>
      <c r="F564" s="80">
        <f>WA!M36</f>
        <v>1.4339999999999997</v>
      </c>
      <c r="G564" s="150"/>
      <c r="H564" s="119" t="s">
        <v>368</v>
      </c>
      <c r="I564" s="19" t="s">
        <v>147</v>
      </c>
      <c r="J564" s="122">
        <f t="shared" ref="J564:K564" si="149">E556</f>
        <v>5.0000000000000001E-3</v>
      </c>
      <c r="K564" s="122">
        <f t="shared" si="149"/>
        <v>0</v>
      </c>
    </row>
    <row r="565" spans="1:11">
      <c r="A565" s="58" t="s">
        <v>31</v>
      </c>
      <c r="B565" s="48" t="s">
        <v>32</v>
      </c>
      <c r="C565" s="49" t="s">
        <v>33</v>
      </c>
      <c r="D565" s="76" t="s">
        <v>102</v>
      </c>
      <c r="E565" s="80">
        <f>WA!L37</f>
        <v>0</v>
      </c>
      <c r="F565" s="80">
        <f>WA!M37</f>
        <v>0</v>
      </c>
      <c r="G565" s="150"/>
      <c r="H565" s="119" t="s">
        <v>369</v>
      </c>
      <c r="I565" s="19" t="s">
        <v>86</v>
      </c>
      <c r="J565" s="122">
        <f t="shared" ref="J565:K565" si="150">E543</f>
        <v>8.2580000000000009</v>
      </c>
      <c r="K565" s="122">
        <f t="shared" si="150"/>
        <v>34.319500000000012</v>
      </c>
    </row>
    <row r="566" spans="1:11">
      <c r="A566" s="47" t="s">
        <v>34</v>
      </c>
      <c r="B566" s="814" t="s">
        <v>152</v>
      </c>
      <c r="C566" s="49" t="s">
        <v>35</v>
      </c>
      <c r="D566" s="76" t="s">
        <v>103</v>
      </c>
      <c r="E566" s="80">
        <f>WA!L38</f>
        <v>541.49698000000012</v>
      </c>
      <c r="F566" s="80">
        <f>WA!M38</f>
        <v>501.47590000000002</v>
      </c>
      <c r="G566" s="150"/>
      <c r="H566" s="119" t="s">
        <v>370</v>
      </c>
      <c r="I566" s="19" t="s">
        <v>143</v>
      </c>
      <c r="J566" s="122">
        <f t="shared" ref="J566:K566" si="151">E549</f>
        <v>0.2</v>
      </c>
      <c r="K566" s="122">
        <f t="shared" si="151"/>
        <v>0</v>
      </c>
    </row>
    <row r="567" spans="1:11">
      <c r="A567" s="55"/>
      <c r="B567" s="815"/>
      <c r="C567" s="49" t="s">
        <v>105</v>
      </c>
      <c r="D567" s="76" t="s">
        <v>104</v>
      </c>
      <c r="E567" s="80">
        <f>WA!L39</f>
        <v>359.89397999999989</v>
      </c>
      <c r="F567" s="80">
        <f>WA!M39</f>
        <v>483.08897500000023</v>
      </c>
      <c r="G567" s="150"/>
      <c r="H567" s="119" t="s">
        <v>371</v>
      </c>
      <c r="I567" s="19" t="s">
        <v>93</v>
      </c>
      <c r="J567" s="122">
        <f t="shared" ref="J567:K567" si="152">E553</f>
        <v>145.06100000000004</v>
      </c>
      <c r="K567" s="122">
        <f t="shared" si="152"/>
        <v>304.19750000000005</v>
      </c>
    </row>
    <row r="568" spans="1:11">
      <c r="A568" s="47" t="s">
        <v>37</v>
      </c>
      <c r="B568" s="814" t="s">
        <v>153</v>
      </c>
      <c r="C568" s="49" t="s">
        <v>38</v>
      </c>
      <c r="D568" s="76" t="s">
        <v>106</v>
      </c>
      <c r="E568" s="80">
        <f>WA!L40</f>
        <v>3.6190000000000002</v>
      </c>
      <c r="F568" s="80">
        <f>WA!M40</f>
        <v>12.922029999999996</v>
      </c>
      <c r="G568" s="150"/>
      <c r="H568" s="119" t="s">
        <v>372</v>
      </c>
      <c r="I568" s="19" t="s">
        <v>85</v>
      </c>
      <c r="J568" s="122">
        <f t="shared" ref="J568:K568" si="153">E542</f>
        <v>0</v>
      </c>
      <c r="K568" s="122">
        <f t="shared" si="153"/>
        <v>10</v>
      </c>
    </row>
    <row r="569" spans="1:11">
      <c r="A569" s="52"/>
      <c r="B569" s="942"/>
      <c r="C569" s="49" t="s">
        <v>39</v>
      </c>
      <c r="D569" s="76" t="s">
        <v>107</v>
      </c>
      <c r="E569" s="80">
        <f>WA!L41</f>
        <v>2117.0175500000009</v>
      </c>
      <c r="F569" s="80">
        <f>WA!M41</f>
        <v>2532.245576999996</v>
      </c>
      <c r="G569" s="150"/>
      <c r="H569" s="119" t="s">
        <v>373</v>
      </c>
      <c r="I569" s="19" t="s">
        <v>374</v>
      </c>
      <c r="J569" s="122">
        <f t="shared" ref="J569:K571" si="154">E538</f>
        <v>29.312000000000001</v>
      </c>
      <c r="K569" s="122">
        <f t="shared" si="154"/>
        <v>22.882000000000001</v>
      </c>
    </row>
    <row r="570" spans="1:11">
      <c r="A570" s="52"/>
      <c r="B570" s="942"/>
      <c r="C570" s="49" t="s">
        <v>40</v>
      </c>
      <c r="D570" s="76" t="s">
        <v>108</v>
      </c>
      <c r="E570" s="80">
        <f>WA!L42</f>
        <v>116.15299999999995</v>
      </c>
      <c r="F570" s="80">
        <f>WA!M42</f>
        <v>62.161999999999992</v>
      </c>
      <c r="G570" s="150"/>
      <c r="H570" s="119" t="s">
        <v>375</v>
      </c>
      <c r="I570" s="19" t="s">
        <v>82</v>
      </c>
      <c r="J570" s="123">
        <f t="shared" si="154"/>
        <v>2014.0300999999995</v>
      </c>
      <c r="K570" s="123">
        <f t="shared" si="154"/>
        <v>1880.1852999999981</v>
      </c>
    </row>
    <row r="571" spans="1:11">
      <c r="A571" s="55"/>
      <c r="B571" s="815"/>
      <c r="C571" s="49" t="s">
        <v>41</v>
      </c>
      <c r="D571" s="76" t="s">
        <v>109</v>
      </c>
      <c r="E571" s="80">
        <f>WA!L43</f>
        <v>0</v>
      </c>
      <c r="F571" s="80">
        <f>WA!M43</f>
        <v>0</v>
      </c>
      <c r="G571" s="150"/>
      <c r="H571" s="119" t="s">
        <v>376</v>
      </c>
      <c r="I571" s="19" t="s">
        <v>83</v>
      </c>
      <c r="J571" s="123">
        <f t="shared" si="154"/>
        <v>42102.600259999897</v>
      </c>
      <c r="K571" s="123">
        <f t="shared" si="154"/>
        <v>46230.26849999986</v>
      </c>
    </row>
    <row r="572" spans="1:11">
      <c r="A572" s="47" t="s">
        <v>42</v>
      </c>
      <c r="B572" s="814" t="s">
        <v>154</v>
      </c>
      <c r="C572" s="49" t="s">
        <v>43</v>
      </c>
      <c r="D572" s="76" t="s">
        <v>110</v>
      </c>
      <c r="E572" s="80">
        <f>WA!L44</f>
        <v>0</v>
      </c>
      <c r="F572" s="80">
        <f>WA!M44</f>
        <v>0.42500000000000004</v>
      </c>
      <c r="G572" s="150"/>
      <c r="H572" s="119" t="s">
        <v>377</v>
      </c>
      <c r="I572" s="19" t="s">
        <v>378</v>
      </c>
      <c r="J572" s="133">
        <f>E599</f>
        <v>25837.28207049278</v>
      </c>
      <c r="K572" s="133">
        <f>F599</f>
        <v>26193.884811505231</v>
      </c>
    </row>
    <row r="573" spans="1:11">
      <c r="A573" s="52"/>
      <c r="B573" s="942"/>
      <c r="C573" s="49" t="s">
        <v>44</v>
      </c>
      <c r="D573" s="76" t="s">
        <v>111</v>
      </c>
      <c r="E573" s="80">
        <f>WA!L45</f>
        <v>237.43999999999997</v>
      </c>
      <c r="F573" s="80">
        <f>WA!M45</f>
        <v>313.04546999999997</v>
      </c>
      <c r="G573" s="214" t="str">
        <f>G554</f>
        <v>WA</v>
      </c>
      <c r="H573" s="119" t="s">
        <v>379</v>
      </c>
      <c r="I573" s="19" t="s">
        <v>176</v>
      </c>
      <c r="J573" s="123">
        <f t="shared" ref="J573:K573" si="155">E573</f>
        <v>237.43999999999997</v>
      </c>
      <c r="K573" s="123">
        <f t="shared" si="155"/>
        <v>313.04546999999997</v>
      </c>
    </row>
    <row r="574" spans="1:11">
      <c r="A574" s="55"/>
      <c r="B574" s="815"/>
      <c r="C574" s="49" t="s">
        <v>45</v>
      </c>
      <c r="D574" s="76" t="s">
        <v>155</v>
      </c>
      <c r="E574" s="80">
        <f>WA!L46</f>
        <v>14.77</v>
      </c>
      <c r="F574" s="80">
        <f>WA!M46</f>
        <v>4.84</v>
      </c>
      <c r="G574" s="150"/>
      <c r="H574" s="119" t="s">
        <v>380</v>
      </c>
      <c r="I574" s="19" t="s">
        <v>381</v>
      </c>
      <c r="J574" s="123">
        <f t="shared" ref="J574:K574" si="156">E587</f>
        <v>2</v>
      </c>
      <c r="K574" s="123">
        <f t="shared" si="156"/>
        <v>0</v>
      </c>
    </row>
    <row r="575" spans="1:11">
      <c r="A575" s="47" t="s">
        <v>46</v>
      </c>
      <c r="B575" s="814" t="s">
        <v>156</v>
      </c>
      <c r="C575" s="49" t="s">
        <v>47</v>
      </c>
      <c r="D575" s="76" t="s">
        <v>112</v>
      </c>
      <c r="E575" s="80">
        <f>WA!L47</f>
        <v>57789.872160000567</v>
      </c>
      <c r="F575" s="80">
        <f>WA!M47</f>
        <v>53305.720225000397</v>
      </c>
      <c r="G575" s="150"/>
      <c r="H575" s="119" t="s">
        <v>382</v>
      </c>
      <c r="I575" s="19" t="s">
        <v>383</v>
      </c>
      <c r="J575" s="123">
        <f t="shared" ref="J575:K575" si="157">E583</f>
        <v>0</v>
      </c>
      <c r="K575" s="123">
        <f t="shared" si="157"/>
        <v>2.39</v>
      </c>
    </row>
    <row r="576" spans="1:11">
      <c r="A576" s="52"/>
      <c r="B576" s="942"/>
      <c r="C576" s="49" t="s">
        <v>48</v>
      </c>
      <c r="D576" s="76" t="s">
        <v>157</v>
      </c>
      <c r="E576" s="80">
        <f>WA!L48</f>
        <v>28880.840400000434</v>
      </c>
      <c r="F576" s="80">
        <f>WA!M48</f>
        <v>25207.14299999996</v>
      </c>
      <c r="G576" s="150"/>
      <c r="H576" s="119" t="s">
        <v>384</v>
      </c>
      <c r="I576" s="19" t="s">
        <v>106</v>
      </c>
      <c r="J576" s="123">
        <f t="shared" ref="J576:K576" si="158">E568</f>
        <v>3.6190000000000002</v>
      </c>
      <c r="K576" s="123">
        <f t="shared" si="158"/>
        <v>12.922029999999996</v>
      </c>
    </row>
    <row r="577" spans="1:11">
      <c r="A577" s="55"/>
      <c r="B577" s="815"/>
      <c r="C577" s="49" t="s">
        <v>49</v>
      </c>
      <c r="D577" s="76" t="s">
        <v>158</v>
      </c>
      <c r="E577" s="80">
        <f>WA!L49</f>
        <v>1.5149999999999999</v>
      </c>
      <c r="F577" s="80">
        <f>WA!M49</f>
        <v>10.535</v>
      </c>
      <c r="G577" s="150"/>
      <c r="H577" s="119" t="s">
        <v>385</v>
      </c>
      <c r="I577" s="19" t="s">
        <v>108</v>
      </c>
      <c r="J577" s="123">
        <f t="shared" ref="J577:K577" si="159">E570</f>
        <v>116.15299999999995</v>
      </c>
      <c r="K577" s="123">
        <f t="shared" si="159"/>
        <v>62.161999999999992</v>
      </c>
    </row>
    <row r="578" spans="1:11">
      <c r="A578" s="47" t="s">
        <v>50</v>
      </c>
      <c r="B578" s="814" t="s">
        <v>159</v>
      </c>
      <c r="C578" s="49" t="s">
        <v>51</v>
      </c>
      <c r="D578" s="76" t="s">
        <v>113</v>
      </c>
      <c r="E578" s="80">
        <f>WA!L50</f>
        <v>8857.27</v>
      </c>
      <c r="F578" s="80">
        <f>WA!M50</f>
        <v>8873.1315000000068</v>
      </c>
      <c r="G578" s="150"/>
      <c r="H578" s="119" t="s">
        <v>386</v>
      </c>
      <c r="I578" s="19" t="s">
        <v>107</v>
      </c>
      <c r="J578" s="123">
        <f t="shared" ref="J578:K578" si="160">E569</f>
        <v>2117.0175500000009</v>
      </c>
      <c r="K578" s="123">
        <f t="shared" si="160"/>
        <v>2532.245576999996</v>
      </c>
    </row>
    <row r="579" spans="1:11">
      <c r="A579" s="52"/>
      <c r="B579" s="942"/>
      <c r="C579" s="49" t="s">
        <v>115</v>
      </c>
      <c r="D579" s="76" t="s">
        <v>114</v>
      </c>
      <c r="E579" s="80">
        <f>WA!L51</f>
        <v>29676.50168000074</v>
      </c>
      <c r="F579" s="80">
        <f>WA!M51</f>
        <v>32410.364120000813</v>
      </c>
      <c r="G579" s="150"/>
      <c r="H579" s="119" t="s">
        <v>387</v>
      </c>
      <c r="I579" s="19" t="s">
        <v>388</v>
      </c>
      <c r="J579" s="125"/>
      <c r="K579" s="125"/>
    </row>
    <row r="580" spans="1:11">
      <c r="A580" s="52"/>
      <c r="B580" s="942"/>
      <c r="C580" s="49" t="s">
        <v>52</v>
      </c>
      <c r="D580" s="76" t="s">
        <v>116</v>
      </c>
      <c r="E580" s="80">
        <f>WA!L52</f>
        <v>0</v>
      </c>
      <c r="F580" s="80">
        <f>WA!M52</f>
        <v>0</v>
      </c>
      <c r="G580" s="150"/>
      <c r="H580" s="119" t="s">
        <v>389</v>
      </c>
      <c r="I580" s="19" t="s">
        <v>390</v>
      </c>
      <c r="J580" s="125"/>
      <c r="K580" s="125"/>
    </row>
    <row r="581" spans="1:11">
      <c r="A581" s="55"/>
      <c r="B581" s="815"/>
      <c r="C581" s="49" t="s">
        <v>118</v>
      </c>
      <c r="D581" s="76" t="s">
        <v>117</v>
      </c>
      <c r="E581" s="80">
        <f>WA!L53</f>
        <v>0</v>
      </c>
      <c r="F581" s="80">
        <f>WA!M53</f>
        <v>0</v>
      </c>
      <c r="G581" s="150"/>
      <c r="H581" s="119" t="s">
        <v>391</v>
      </c>
      <c r="I581" s="19" t="s">
        <v>392</v>
      </c>
      <c r="J581" s="122">
        <f t="shared" ref="J581:K581" si="161">E584</f>
        <v>0.185</v>
      </c>
      <c r="K581" s="122">
        <f t="shared" si="161"/>
        <v>1.4999999999999999E-2</v>
      </c>
    </row>
    <row r="582" spans="1:11" ht="25.5">
      <c r="A582" s="47" t="s">
        <v>53</v>
      </c>
      <c r="B582" s="814" t="s">
        <v>54</v>
      </c>
      <c r="C582" s="49" t="s">
        <v>55</v>
      </c>
      <c r="D582" s="109" t="s">
        <v>160</v>
      </c>
      <c r="E582" s="80">
        <f>WA!L54</f>
        <v>1.6369999999999998</v>
      </c>
      <c r="F582" s="80">
        <f>WA!M54</f>
        <v>5.5223000000000004</v>
      </c>
      <c r="G582" s="150"/>
      <c r="H582" s="62"/>
      <c r="I582" s="73" t="s">
        <v>405</v>
      </c>
      <c r="J582" s="115"/>
      <c r="K582" s="116"/>
    </row>
    <row r="583" spans="1:11">
      <c r="A583" s="52"/>
      <c r="B583" s="942"/>
      <c r="C583" s="49" t="s">
        <v>56</v>
      </c>
      <c r="D583" s="76" t="s">
        <v>161</v>
      </c>
      <c r="E583" s="80">
        <f>WA!L55</f>
        <v>0</v>
      </c>
      <c r="F583" s="80">
        <f>WA!M55</f>
        <v>2.39</v>
      </c>
      <c r="G583" s="150"/>
      <c r="H583" s="119" t="s">
        <v>393</v>
      </c>
      <c r="I583" s="19" t="s">
        <v>394</v>
      </c>
      <c r="J583" s="163">
        <f>'Gap data 2'!$B$17*'Gap data 2'!I6</f>
        <v>724832.33440570987</v>
      </c>
      <c r="K583" s="163">
        <f>'Gap data 2'!$B$17*'Gap data 2'!I7</f>
        <v>734836.37416957982</v>
      </c>
    </row>
    <row r="584" spans="1:11">
      <c r="A584" s="52"/>
      <c r="B584" s="942"/>
      <c r="C584" s="49" t="s">
        <v>57</v>
      </c>
      <c r="D584" s="76" t="s">
        <v>162</v>
      </c>
      <c r="E584" s="80">
        <f>WA!L56</f>
        <v>0.185</v>
      </c>
      <c r="F584" s="80">
        <f>WA!M56</f>
        <v>1.4999999999999999E-2</v>
      </c>
      <c r="G584" s="150"/>
      <c r="H584" s="119" t="s">
        <v>395</v>
      </c>
      <c r="I584" s="19" t="s">
        <v>396</v>
      </c>
      <c r="J584" s="221">
        <v>0</v>
      </c>
      <c r="K584" s="221">
        <v>0</v>
      </c>
    </row>
    <row r="585" spans="1:11">
      <c r="A585" s="52"/>
      <c r="B585" s="942"/>
      <c r="C585" s="49" t="s">
        <v>120</v>
      </c>
      <c r="D585" s="76" t="s">
        <v>119</v>
      </c>
      <c r="E585" s="80">
        <f>WA!L57</f>
        <v>0</v>
      </c>
      <c r="F585" s="80">
        <f>WA!M57</f>
        <v>0</v>
      </c>
      <c r="G585" s="150"/>
      <c r="H585" s="72"/>
      <c r="I585" s="73" t="s">
        <v>408</v>
      </c>
      <c r="J585" s="117"/>
      <c r="K585" s="118"/>
    </row>
    <row r="586" spans="1:11">
      <c r="A586" s="52"/>
      <c r="B586" s="942"/>
      <c r="C586" s="49" t="s">
        <v>122</v>
      </c>
      <c r="D586" s="76" t="s">
        <v>121</v>
      </c>
      <c r="E586" s="80">
        <f>WA!L58</f>
        <v>0</v>
      </c>
      <c r="F586" s="80">
        <f>WA!M58</f>
        <v>0</v>
      </c>
      <c r="G586" s="150"/>
      <c r="H586" s="58">
        <v>1</v>
      </c>
      <c r="I586" s="76" t="s">
        <v>397</v>
      </c>
      <c r="J586" s="80">
        <f>SUM(E551:E552,E557:E558)</f>
        <v>5.5259999999999998</v>
      </c>
      <c r="K586" s="80">
        <f>SUM(F551:F552,F557:F558)</f>
        <v>91.653000000000006</v>
      </c>
    </row>
    <row r="587" spans="1:11">
      <c r="A587" s="52"/>
      <c r="B587" s="942"/>
      <c r="C587" s="49" t="s">
        <v>124</v>
      </c>
      <c r="D587" s="76" t="s">
        <v>123</v>
      </c>
      <c r="E587" s="80">
        <f>WA!L59</f>
        <v>2</v>
      </c>
      <c r="F587" s="80">
        <f>WA!M59</f>
        <v>0</v>
      </c>
      <c r="G587" s="150"/>
      <c r="H587" s="58">
        <v>2</v>
      </c>
      <c r="I587" s="76" t="s">
        <v>398</v>
      </c>
      <c r="J587" s="80">
        <f>SUM(E559:E561,E564)</f>
        <v>5794.5249999999996</v>
      </c>
      <c r="K587" s="80">
        <f>SUM(F559:F561,F564)</f>
        <v>5276.6563000000006</v>
      </c>
    </row>
    <row r="588" spans="1:11">
      <c r="A588" s="52"/>
      <c r="B588" s="942"/>
      <c r="C588" s="49" t="s">
        <v>58</v>
      </c>
      <c r="D588" s="76" t="s">
        <v>136</v>
      </c>
      <c r="E588" s="80">
        <f>WA!L60</f>
        <v>18.625</v>
      </c>
      <c r="F588" s="80">
        <f>WA!M60</f>
        <v>3.4969999999999999</v>
      </c>
      <c r="G588" s="150"/>
      <c r="H588" s="58">
        <v>3</v>
      </c>
      <c r="I588" s="76" t="s">
        <v>323</v>
      </c>
      <c r="J588" s="80">
        <f>SUM(E588:E591)</f>
        <v>276.17902506527565</v>
      </c>
      <c r="K588" s="80">
        <f>SUM(F588:F591)</f>
        <v>371.81104955180348</v>
      </c>
    </row>
    <row r="589" spans="1:11">
      <c r="A589" s="52"/>
      <c r="B589" s="942"/>
      <c r="C589" s="49" t="s">
        <v>59</v>
      </c>
      <c r="D589" s="76" t="s">
        <v>125</v>
      </c>
      <c r="E589" s="114">
        <f>'Gap data 1'!$F$62*'Gap data 2'!I6/1000000</f>
        <v>215.02702506527567</v>
      </c>
      <c r="F589" s="114">
        <f>'Gap data 1'!$F$62*'Gap data 2'!I7/1000000</f>
        <v>217.99479955180348</v>
      </c>
      <c r="G589" s="150"/>
      <c r="H589" s="58">
        <v>4</v>
      </c>
      <c r="I589" s="76" t="s">
        <v>159</v>
      </c>
      <c r="J589" s="80">
        <f t="shared" ref="J589" si="162">SUM(E578:E581)</f>
        <v>38533.77168000074</v>
      </c>
      <c r="K589" s="80">
        <f>SUM(F578:F581)</f>
        <v>41283.495620000816</v>
      </c>
    </row>
    <row r="590" spans="1:11" ht="25.5">
      <c r="A590" s="52"/>
      <c r="B590" s="942"/>
      <c r="C590" s="49" t="s">
        <v>60</v>
      </c>
      <c r="D590" s="109" t="s">
        <v>163</v>
      </c>
      <c r="E590" s="80">
        <f>WA!L62</f>
        <v>42.486999999999988</v>
      </c>
      <c r="F590" s="80">
        <f>WA!M62</f>
        <v>126.31150000000001</v>
      </c>
      <c r="G590" s="150"/>
      <c r="H590" s="58">
        <v>5</v>
      </c>
      <c r="I590" s="108" t="s">
        <v>399</v>
      </c>
      <c r="J590" s="80">
        <f>E592</f>
        <v>1455.0599999999993</v>
      </c>
      <c r="K590" s="80">
        <f>F592</f>
        <v>2047.0027000000002</v>
      </c>
    </row>
    <row r="591" spans="1:11">
      <c r="A591" s="55"/>
      <c r="B591" s="815"/>
      <c r="C591" s="49" t="s">
        <v>61</v>
      </c>
      <c r="D591" s="76" t="s">
        <v>126</v>
      </c>
      <c r="E591" s="80">
        <f>WA!L63</f>
        <v>0.04</v>
      </c>
      <c r="F591" s="80">
        <f>WA!M63</f>
        <v>24.007749999999998</v>
      </c>
      <c r="G591" s="150"/>
      <c r="H591" s="58">
        <v>6</v>
      </c>
      <c r="I591" s="248" t="s">
        <v>468</v>
      </c>
      <c r="J591" s="425">
        <f t="shared" ref="J591" si="163">E593</f>
        <v>1728.6962400000002</v>
      </c>
      <c r="K591" s="425">
        <f t="shared" ref="K591" si="164">F593</f>
        <v>1528.5129999999999</v>
      </c>
    </row>
    <row r="592" spans="1:11">
      <c r="A592" s="47" t="s">
        <v>62</v>
      </c>
      <c r="B592" s="814" t="s">
        <v>164</v>
      </c>
      <c r="C592" s="49" t="s">
        <v>63</v>
      </c>
      <c r="D592" s="76" t="s">
        <v>165</v>
      </c>
      <c r="E592" s="80">
        <f>WA!L64</f>
        <v>1455.0599999999993</v>
      </c>
      <c r="F592" s="80">
        <f>WA!M64</f>
        <v>2047.0027000000002</v>
      </c>
      <c r="H592" s="58">
        <v>7</v>
      </c>
      <c r="I592" s="248" t="s">
        <v>469</v>
      </c>
      <c r="J592" s="425">
        <f>SUM(E594,E597)</f>
        <v>111.98200000000003</v>
      </c>
      <c r="K592" s="425">
        <f>SUM(F594,F597)</f>
        <v>42.099999999999994</v>
      </c>
    </row>
    <row r="593" spans="1:11">
      <c r="A593" s="52"/>
      <c r="B593" s="942"/>
      <c r="C593" s="49" t="s">
        <v>64</v>
      </c>
      <c r="D593" s="76" t="s">
        <v>127</v>
      </c>
      <c r="E593" s="80">
        <f>WA!L65</f>
        <v>1728.6962400000002</v>
      </c>
      <c r="F593" s="80">
        <f>WA!M65</f>
        <v>1528.5129999999999</v>
      </c>
      <c r="G593" s="214" t="str">
        <f>G573</f>
        <v>WA</v>
      </c>
      <c r="H593" s="58">
        <v>8</v>
      </c>
      <c r="I593" s="76" t="s">
        <v>133</v>
      </c>
      <c r="J593" s="80">
        <f>E606</f>
        <v>36544.434399155172</v>
      </c>
      <c r="K593" s="80">
        <f>F606</f>
        <v>36544.434399155172</v>
      </c>
    </row>
    <row r="594" spans="1:11">
      <c r="A594" s="52"/>
      <c r="B594" s="942"/>
      <c r="C594" s="49" t="s">
        <v>65</v>
      </c>
      <c r="D594" s="76" t="s">
        <v>166</v>
      </c>
      <c r="E594" s="80">
        <f>WA!L66</f>
        <v>13.32</v>
      </c>
      <c r="F594" s="80">
        <f>WA!M66</f>
        <v>14.8</v>
      </c>
      <c r="G594" s="104"/>
    </row>
    <row r="595" spans="1:11">
      <c r="A595" s="52"/>
      <c r="B595" s="942"/>
      <c r="C595" s="49" t="s">
        <v>66</v>
      </c>
      <c r="D595" s="76" t="s">
        <v>173</v>
      </c>
      <c r="E595" s="80">
        <f>WA!L67</f>
        <v>2.7</v>
      </c>
      <c r="F595" s="80">
        <f>WA!M67</f>
        <v>42.059999999999995</v>
      </c>
      <c r="G595" s="104"/>
    </row>
    <row r="596" spans="1:11">
      <c r="A596" s="52"/>
      <c r="B596" s="942"/>
      <c r="C596" s="49" t="s">
        <v>67</v>
      </c>
      <c r="D596" s="76" t="s">
        <v>174</v>
      </c>
      <c r="E596" s="80">
        <f>WA!L68</f>
        <v>6282.2760000000017</v>
      </c>
      <c r="F596" s="80">
        <f>WA!M68</f>
        <v>146.98500000000001</v>
      </c>
      <c r="G596" s="104"/>
    </row>
    <row r="597" spans="1:11">
      <c r="A597" s="52"/>
      <c r="B597" s="942"/>
      <c r="C597" s="49" t="s">
        <v>68</v>
      </c>
      <c r="D597" s="76" t="s">
        <v>175</v>
      </c>
      <c r="E597" s="80">
        <f>WA!L69</f>
        <v>98.66200000000002</v>
      </c>
      <c r="F597" s="80">
        <f>WA!M69</f>
        <v>27.299999999999997</v>
      </c>
      <c r="G597" s="104"/>
    </row>
    <row r="598" spans="1:11">
      <c r="A598" s="52"/>
      <c r="B598" s="942"/>
      <c r="C598" s="49" t="s">
        <v>128</v>
      </c>
      <c r="D598" s="76" t="s">
        <v>167</v>
      </c>
      <c r="E598" s="114">
        <f>IF(ISNUMBER(WA!L70),WA!L70,0)+'Gap data 2'!$I$32</f>
        <v>65420.41264648387</v>
      </c>
      <c r="F598" s="114">
        <f>IF(ISNUMBER(WA!M70),WA!M70,0)+'Gap data 2'!$I$32</f>
        <v>72710.000881483851</v>
      </c>
      <c r="G598" s="104"/>
    </row>
    <row r="599" spans="1:11">
      <c r="A599" s="52"/>
      <c r="B599" s="942"/>
      <c r="C599" s="49" t="s">
        <v>69</v>
      </c>
      <c r="D599" s="76" t="s">
        <v>129</v>
      </c>
      <c r="E599" s="114">
        <f>'Gap data 1'!$F$72*'Gap data 2'!I6/1000000</f>
        <v>25837.28207049278</v>
      </c>
      <c r="F599" s="114">
        <f>'Gap data 1'!$F$72*'Gap data 2'!I7/1000000</f>
        <v>26193.884811505231</v>
      </c>
      <c r="G599" s="104"/>
    </row>
    <row r="600" spans="1:11">
      <c r="A600" s="55"/>
      <c r="B600" s="815"/>
      <c r="C600" s="49" t="s">
        <v>70</v>
      </c>
      <c r="D600" s="76" t="s">
        <v>168</v>
      </c>
      <c r="E600" s="80">
        <f>WA!L72</f>
        <v>0</v>
      </c>
      <c r="F600" s="80">
        <f>WA!M72</f>
        <v>0</v>
      </c>
      <c r="G600" s="104"/>
    </row>
    <row r="601" spans="1:11">
      <c r="A601" s="47" t="s">
        <v>71</v>
      </c>
      <c r="B601" s="814" t="s">
        <v>169</v>
      </c>
      <c r="C601" s="49" t="s">
        <v>72</v>
      </c>
      <c r="D601" s="76" t="s">
        <v>170</v>
      </c>
      <c r="E601" s="80">
        <f>WA!L73</f>
        <v>1868.3677599999719</v>
      </c>
      <c r="F601" s="80">
        <f>WA!M73</f>
        <v>1420.6273139999744</v>
      </c>
      <c r="G601" s="104"/>
    </row>
    <row r="602" spans="1:11">
      <c r="A602" s="52"/>
      <c r="B602" s="942"/>
      <c r="C602" s="49" t="s">
        <v>73</v>
      </c>
      <c r="D602" s="76" t="s">
        <v>130</v>
      </c>
      <c r="E602" s="80">
        <f>WA!L74</f>
        <v>0</v>
      </c>
      <c r="F602" s="80">
        <f>WA!M74</f>
        <v>0</v>
      </c>
      <c r="G602" s="104"/>
    </row>
    <row r="603" spans="1:11">
      <c r="A603" s="55"/>
      <c r="B603" s="815"/>
      <c r="C603" s="49" t="s">
        <v>74</v>
      </c>
      <c r="D603" s="76" t="s">
        <v>131</v>
      </c>
      <c r="E603" s="80">
        <f>WA!L75</f>
        <v>0</v>
      </c>
      <c r="F603" s="80">
        <f>WA!M75</f>
        <v>0</v>
      </c>
      <c r="G603" s="104"/>
    </row>
    <row r="604" spans="1:11" ht="38.25">
      <c r="A604" s="47" t="s">
        <v>75</v>
      </c>
      <c r="B604" s="814" t="s">
        <v>76</v>
      </c>
      <c r="C604" s="49" t="s">
        <v>77</v>
      </c>
      <c r="D604" s="109" t="s">
        <v>171</v>
      </c>
      <c r="E604" s="80">
        <f>WA!L76</f>
        <v>243.97452500000006</v>
      </c>
      <c r="F604" s="80">
        <f>WA!M76</f>
        <v>291.63421000000011</v>
      </c>
      <c r="G604" s="104"/>
    </row>
    <row r="605" spans="1:11">
      <c r="A605" s="110"/>
      <c r="B605" s="942"/>
      <c r="C605" s="49" t="s">
        <v>78</v>
      </c>
      <c r="D605" s="76" t="s">
        <v>132</v>
      </c>
      <c r="E605" s="80">
        <f>WA!L77</f>
        <v>3.1224499999999997</v>
      </c>
      <c r="F605" s="80">
        <f>WA!M77</f>
        <v>6.3480000000000016</v>
      </c>
      <c r="G605" s="104"/>
    </row>
    <row r="606" spans="1:11">
      <c r="A606" s="110"/>
      <c r="B606" s="942"/>
      <c r="C606" s="49" t="s">
        <v>134</v>
      </c>
      <c r="D606" s="76" t="s">
        <v>133</v>
      </c>
      <c r="E606" s="114">
        <f>'Gap data 2'!$I$29</f>
        <v>36544.434399155172</v>
      </c>
      <c r="F606" s="114">
        <f>'Gap data 2'!$I$29</f>
        <v>36544.434399155172</v>
      </c>
      <c r="G606" s="104"/>
    </row>
    <row r="607" spans="1:11">
      <c r="A607" s="111"/>
      <c r="B607" s="815"/>
      <c r="C607" s="49" t="s">
        <v>172</v>
      </c>
      <c r="D607" s="76" t="s">
        <v>135</v>
      </c>
      <c r="E607" s="80">
        <f>WA!L79</f>
        <v>2.1</v>
      </c>
      <c r="F607" s="80">
        <f>WA!M79</f>
        <v>0.57499999999999996</v>
      </c>
      <c r="G607" s="104"/>
    </row>
    <row r="608" spans="1:11">
      <c r="G608" s="104"/>
      <c r="H608" s="104"/>
      <c r="I608" s="104"/>
      <c r="J608" s="104"/>
      <c r="K608" s="104"/>
    </row>
    <row r="609" spans="7:7" ht="13.5" customHeight="1">
      <c r="G609" s="36"/>
    </row>
    <row r="610" spans="7:7">
      <c r="G610" s="36"/>
    </row>
    <row r="613" spans="7:7">
      <c r="G613" s="36"/>
    </row>
  </sheetData>
  <mergeCells count="92">
    <mergeCell ref="B526:B528"/>
    <mergeCell ref="B529:B532"/>
    <mergeCell ref="B497:B499"/>
    <mergeCell ref="B500:B502"/>
    <mergeCell ref="B503:B506"/>
    <mergeCell ref="B507:B516"/>
    <mergeCell ref="B517:B525"/>
    <mergeCell ref="B578:B581"/>
    <mergeCell ref="B582:B591"/>
    <mergeCell ref="B592:B600"/>
    <mergeCell ref="B601:B603"/>
    <mergeCell ref="B604:B607"/>
    <mergeCell ref="B575:B577"/>
    <mergeCell ref="B350:B352"/>
    <mergeCell ref="B353:B356"/>
    <mergeCell ref="B357:B366"/>
    <mergeCell ref="B367:B375"/>
    <mergeCell ref="B376:B378"/>
    <mergeCell ref="B379:B382"/>
    <mergeCell ref="B536:B538"/>
    <mergeCell ref="B541:B564"/>
    <mergeCell ref="B566:B567"/>
    <mergeCell ref="B568:B571"/>
    <mergeCell ref="B572:B574"/>
    <mergeCell ref="B461:B463"/>
    <mergeCell ref="B466:B489"/>
    <mergeCell ref="B491:B492"/>
    <mergeCell ref="B493:B496"/>
    <mergeCell ref="J6:K6"/>
    <mergeCell ref="B67:B75"/>
    <mergeCell ref="B76:B78"/>
    <mergeCell ref="B79:B82"/>
    <mergeCell ref="B43:B46"/>
    <mergeCell ref="B47:B49"/>
    <mergeCell ref="B50:B52"/>
    <mergeCell ref="B53:B56"/>
    <mergeCell ref="B57:B66"/>
    <mergeCell ref="A6:D6"/>
    <mergeCell ref="H6:I6"/>
    <mergeCell ref="B41:B42"/>
    <mergeCell ref="B11:B13"/>
    <mergeCell ref="B16:B39"/>
    <mergeCell ref="E6:F6"/>
    <mergeCell ref="B236:B238"/>
    <mergeCell ref="B241:B264"/>
    <mergeCell ref="B266:B267"/>
    <mergeCell ref="B268:B271"/>
    <mergeCell ref="B272:B274"/>
    <mergeCell ref="B275:B277"/>
    <mergeCell ref="B278:B281"/>
    <mergeCell ref="B282:B291"/>
    <mergeCell ref="B292:B300"/>
    <mergeCell ref="B301:B303"/>
    <mergeCell ref="B432:B441"/>
    <mergeCell ref="B442:B450"/>
    <mergeCell ref="B304:B307"/>
    <mergeCell ref="B386:B388"/>
    <mergeCell ref="B391:B414"/>
    <mergeCell ref="B416:B417"/>
    <mergeCell ref="B418:B421"/>
    <mergeCell ref="B311:B313"/>
    <mergeCell ref="B316:B339"/>
    <mergeCell ref="B341:B342"/>
    <mergeCell ref="B343:B346"/>
    <mergeCell ref="B347:B349"/>
    <mergeCell ref="B451:B453"/>
    <mergeCell ref="B454:B457"/>
    <mergeCell ref="B161:B163"/>
    <mergeCell ref="B166:B189"/>
    <mergeCell ref="B191:B192"/>
    <mergeCell ref="B193:B196"/>
    <mergeCell ref="B197:B199"/>
    <mergeCell ref="B200:B202"/>
    <mergeCell ref="B203:B206"/>
    <mergeCell ref="B207:B216"/>
    <mergeCell ref="B217:B225"/>
    <mergeCell ref="B226:B228"/>
    <mergeCell ref="B229:B232"/>
    <mergeCell ref="B422:B424"/>
    <mergeCell ref="B425:B427"/>
    <mergeCell ref="B428:B431"/>
    <mergeCell ref="B86:B88"/>
    <mergeCell ref="B91:B114"/>
    <mergeCell ref="B116:B117"/>
    <mergeCell ref="B118:B121"/>
    <mergeCell ref="B122:B124"/>
    <mergeCell ref="B154:B157"/>
    <mergeCell ref="B125:B127"/>
    <mergeCell ref="B128:B131"/>
    <mergeCell ref="B132:B141"/>
    <mergeCell ref="B142:B150"/>
    <mergeCell ref="B151:B153"/>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dimension ref="A1:AB79"/>
  <sheetViews>
    <sheetView zoomScale="70" zoomScaleNormal="70" workbookViewId="0">
      <pane ySplit="6" topLeftCell="A7" activePane="bottomLeft" state="frozen"/>
      <selection pane="bottomLeft" activeCell="A7" sqref="A7"/>
    </sheetView>
  </sheetViews>
  <sheetFormatPr defaultColWidth="9.140625" defaultRowHeight="12.75"/>
  <cols>
    <col min="1" max="1" width="9.140625" style="36"/>
    <col min="2" max="2" width="25" style="36" customWidth="1"/>
    <col min="3" max="3" width="9.140625" style="36"/>
    <col min="4" max="4" width="91.5703125" style="36" customWidth="1"/>
    <col min="5" max="5" width="11.42578125" style="36" customWidth="1"/>
    <col min="6" max="6" width="11" style="36" customWidth="1"/>
    <col min="7" max="7" width="9" style="77" customWidth="1"/>
    <col min="8" max="8" width="9.7109375" style="36" bestFit="1" customWidth="1"/>
    <col min="9" max="9" width="69.140625" style="36" customWidth="1"/>
    <col min="10" max="11" width="12.28515625" style="36" customWidth="1"/>
    <col min="12" max="12" width="14.5703125" style="36" customWidth="1"/>
    <col min="13" max="16384" width="9.140625" style="36"/>
  </cols>
  <sheetData>
    <row r="1" spans="1:28" s="193" customFormat="1" ht="21">
      <c r="A1" s="211" t="s">
        <v>720</v>
      </c>
      <c r="D1" s="153"/>
      <c r="E1" s="194"/>
      <c r="F1" s="194"/>
      <c r="G1" s="194"/>
      <c r="H1" s="153"/>
      <c r="I1" s="194"/>
      <c r="Q1" s="210"/>
      <c r="R1" s="210"/>
    </row>
    <row r="2" spans="1:28" s="113" customFormat="1" ht="18.75">
      <c r="A2" s="209" t="s">
        <v>452</v>
      </c>
      <c r="C2" s="206"/>
      <c r="D2" s="207"/>
      <c r="E2" s="208"/>
      <c r="F2" s="206"/>
      <c r="H2" s="208"/>
      <c r="I2" s="206"/>
      <c r="K2" s="504" t="s">
        <v>683</v>
      </c>
      <c r="L2" s="726">
        <f>SUM(L7:L52)</f>
        <v>4243238.1110281404</v>
      </c>
      <c r="M2" s="763" t="s">
        <v>870</v>
      </c>
      <c r="N2" s="206"/>
      <c r="P2" s="208"/>
      <c r="Q2" s="206"/>
      <c r="S2" s="208"/>
      <c r="T2" s="206"/>
      <c r="V2" s="208"/>
      <c r="W2" s="206"/>
      <c r="Y2" s="208"/>
      <c r="Z2" s="206"/>
      <c r="AB2" s="208"/>
    </row>
    <row r="3" spans="1:28" ht="18.75">
      <c r="G3" s="127"/>
      <c r="K3" s="504" t="s">
        <v>851</v>
      </c>
      <c r="L3" s="726">
        <f>SUM(L7:L52,L57:L64)</f>
        <v>7191311.7202949235</v>
      </c>
      <c r="M3" s="763" t="s">
        <v>869</v>
      </c>
    </row>
    <row r="4" spans="1:28" ht="18.75">
      <c r="G4" s="127"/>
      <c r="K4" s="504" t="s">
        <v>852</v>
      </c>
      <c r="L4" s="726">
        <f>SUM(L54:L55)</f>
        <v>13401059.50740603</v>
      </c>
      <c r="M4" s="763" t="s">
        <v>871</v>
      </c>
    </row>
    <row r="5" spans="1:28" ht="18.75" customHeight="1">
      <c r="A5" s="818" t="s">
        <v>402</v>
      </c>
      <c r="B5" s="819"/>
      <c r="C5" s="819"/>
      <c r="D5" s="811"/>
      <c r="E5" s="820" t="s">
        <v>401</v>
      </c>
      <c r="F5" s="821"/>
      <c r="G5" s="35"/>
      <c r="H5" s="810" t="s">
        <v>403</v>
      </c>
      <c r="I5" s="811"/>
      <c r="J5" s="812" t="s">
        <v>401</v>
      </c>
      <c r="K5" s="813"/>
      <c r="L5" s="512"/>
    </row>
    <row r="6" spans="1:28" ht="25.5" customHeight="1">
      <c r="A6" s="747" t="s">
        <v>859</v>
      </c>
      <c r="B6" s="43" t="s">
        <v>409</v>
      </c>
      <c r="C6" s="747" t="s">
        <v>860</v>
      </c>
      <c r="D6" s="43" t="s">
        <v>404</v>
      </c>
      <c r="E6" s="42" t="s">
        <v>680</v>
      </c>
      <c r="F6" s="42" t="s">
        <v>681</v>
      </c>
      <c r="G6" s="41"/>
      <c r="H6" s="44" t="s">
        <v>0</v>
      </c>
      <c r="I6" s="45" t="s">
        <v>406</v>
      </c>
      <c r="J6" s="46" t="s">
        <v>680</v>
      </c>
      <c r="K6" s="46" t="s">
        <v>681</v>
      </c>
      <c r="L6" s="506" t="s">
        <v>872</v>
      </c>
    </row>
    <row r="7" spans="1:28" ht="15.75">
      <c r="A7" s="50" t="s">
        <v>3</v>
      </c>
      <c r="B7" s="160" t="s">
        <v>137</v>
      </c>
      <c r="C7" s="49" t="s">
        <v>4</v>
      </c>
      <c r="D7" s="48" t="s">
        <v>79</v>
      </c>
      <c r="E7" s="80">
        <f>SUM('Adjusted jurisdiction data'!E11,'Adjusted jurisdiction data'!E86,'Adjusted jurisdiction data'!E161,'Adjusted jurisdiction data'!E236,'Adjusted jurisdiction data'!E311,'Adjusted jurisdiction data'!E386,'Adjusted jurisdiction data'!E461,'Adjusted jurisdiction data'!E536)</f>
        <v>2672.23</v>
      </c>
      <c r="F7" s="80">
        <f>SUM('Adjusted jurisdiction data'!F11,'Adjusted jurisdiction data'!F86,'Adjusted jurisdiction data'!F161,'Adjusted jurisdiction data'!F236,'Adjusted jurisdiction data'!F311,'Adjusted jurisdiction data'!F386,'Adjusted jurisdiction data'!F461,'Adjusted jurisdiction data'!F536)</f>
        <v>2407.5663999999997</v>
      </c>
      <c r="G7" s="150"/>
      <c r="H7" s="119" t="s">
        <v>324</v>
      </c>
      <c r="I7" s="18" t="s">
        <v>325</v>
      </c>
      <c r="J7" s="80">
        <f>SUM('Adjusted jurisdiction data'!J11,'Adjusted jurisdiction data'!J86,'Adjusted jurisdiction data'!J161,'Adjusted jurisdiction data'!J236,'Adjusted jurisdiction data'!J311,'Adjusted jurisdiction data'!J386,'Adjusted jurisdiction data'!J461,'Adjusted jurisdiction data'!J536)</f>
        <v>36214.479951507827</v>
      </c>
      <c r="K7" s="80">
        <f>SUM('Adjusted jurisdiction data'!K11,'Adjusted jurisdiction data'!K86,'Adjusted jurisdiction data'!K161,'Adjusted jurisdiction data'!K236,'Adjusted jurisdiction data'!K311,'Adjusted jurisdiction data'!K386,'Adjusted jurisdiction data'!K461,'Adjusted jurisdiction data'!K536)</f>
        <v>35999.572789275211</v>
      </c>
      <c r="L7" s="505">
        <f t="shared" ref="L7:L15" si="0">SUM(J7:K7)</f>
        <v>72214.052740783038</v>
      </c>
    </row>
    <row r="8" spans="1:28" ht="15.75">
      <c r="A8" s="53"/>
      <c r="B8" s="162"/>
      <c r="C8" s="49" t="s">
        <v>138</v>
      </c>
      <c r="D8" s="48" t="s">
        <v>139</v>
      </c>
      <c r="E8" s="80">
        <f>SUM('Adjusted jurisdiction data'!E12,'Adjusted jurisdiction data'!E87,'Adjusted jurisdiction data'!E162,'Adjusted jurisdiction data'!E237,'Adjusted jurisdiction data'!E312,'Adjusted jurisdiction data'!E387,'Adjusted jurisdiction data'!E462,'Adjusted jurisdiction data'!E537)</f>
        <v>6.5759265334999997</v>
      </c>
      <c r="F8" s="80">
        <f>SUM('Adjusted jurisdiction data'!F12,'Adjusted jurisdiction data'!F87,'Adjusted jurisdiction data'!F162,'Adjusted jurisdiction data'!F237,'Adjusted jurisdiction data'!F312,'Adjusted jurisdiction data'!F387,'Adjusted jurisdiction data'!F462,'Adjusted jurisdiction data'!F537)</f>
        <v>6.5759265334999997</v>
      </c>
      <c r="G8" s="150"/>
      <c r="H8" s="119" t="s">
        <v>326</v>
      </c>
      <c r="I8" s="18" t="s">
        <v>327</v>
      </c>
      <c r="J8" s="80">
        <f>SUM('Adjusted jurisdiction data'!J12,'Adjusted jurisdiction data'!J87,'Adjusted jurisdiction data'!J162,'Adjusted jurisdiction data'!J237,'Adjusted jurisdiction data'!J312,'Adjusted jurisdiction data'!J387,'Adjusted jurisdiction data'!J462,'Adjusted jurisdiction data'!J537)</f>
        <v>628.18180000000007</v>
      </c>
      <c r="K8" s="80">
        <f>SUM('Adjusted jurisdiction data'!K12,'Adjusted jurisdiction data'!K87,'Adjusted jurisdiction data'!K162,'Adjusted jurisdiction data'!K237,'Adjusted jurisdiction data'!K312,'Adjusted jurisdiction data'!K387,'Adjusted jurisdiction data'!K462,'Adjusted jurisdiction data'!K537)</f>
        <v>535.16496000000006</v>
      </c>
      <c r="L8" s="505">
        <f t="shared" si="0"/>
        <v>1163.3467600000001</v>
      </c>
      <c r="M8" s="503"/>
    </row>
    <row r="9" spans="1:28" ht="15.75">
      <c r="A9" s="56"/>
      <c r="B9" s="161"/>
      <c r="C9" s="49" t="s">
        <v>81</v>
      </c>
      <c r="D9" s="48" t="s">
        <v>80</v>
      </c>
      <c r="E9" s="80">
        <f>SUM('Adjusted jurisdiction data'!E13,'Adjusted jurisdiction data'!E88,'Adjusted jurisdiction data'!E163,'Adjusted jurisdiction data'!E238,'Adjusted jurisdiction data'!E313,'Adjusted jurisdiction data'!E388,'Adjusted jurisdiction data'!E463,'Adjusted jurisdiction data'!E538)</f>
        <v>67.42049999999999</v>
      </c>
      <c r="F9" s="80">
        <f>SUM('Adjusted jurisdiction data'!F13,'Adjusted jurisdiction data'!F88,'Adjusted jurisdiction data'!F163,'Adjusted jurisdiction data'!F238,'Adjusted jurisdiction data'!F313,'Adjusted jurisdiction data'!F388,'Adjusted jurisdiction data'!F463,'Adjusted jurisdiction data'!F538)</f>
        <v>40.245000000000005</v>
      </c>
      <c r="G9" s="150"/>
      <c r="H9" s="119" t="s">
        <v>328</v>
      </c>
      <c r="I9" s="18" t="s">
        <v>130</v>
      </c>
      <c r="J9" s="80">
        <f>SUM('Adjusted jurisdiction data'!J13,'Adjusted jurisdiction data'!J88,'Adjusted jurisdiction data'!J163,'Adjusted jurisdiction data'!J238,'Adjusted jurisdiction data'!J313,'Adjusted jurisdiction data'!J388,'Adjusted jurisdiction data'!J463,'Adjusted jurisdiction data'!J538)</f>
        <v>2908.2514020488752</v>
      </c>
      <c r="K9" s="80">
        <f>SUM('Adjusted jurisdiction data'!K13,'Adjusted jurisdiction data'!K88,'Adjusted jurisdiction data'!K163,'Adjusted jurisdiction data'!K238,'Adjusted jurisdiction data'!K313,'Adjusted jurisdiction data'!K388,'Adjusted jurisdiction data'!K463,'Adjusted jurisdiction data'!K538)</f>
        <v>2518.0591988980545</v>
      </c>
      <c r="L9" s="505">
        <f t="shared" si="0"/>
        <v>5426.3106009469302</v>
      </c>
    </row>
    <row r="10" spans="1:28" ht="15.75">
      <c r="A10" s="59" t="s">
        <v>5</v>
      </c>
      <c r="B10" s="48" t="s">
        <v>6</v>
      </c>
      <c r="C10" s="49" t="s">
        <v>7</v>
      </c>
      <c r="D10" s="48" t="s">
        <v>82</v>
      </c>
      <c r="E10" s="80">
        <f>SUM('Adjusted jurisdiction data'!E14,'Adjusted jurisdiction data'!E89,'Adjusted jurisdiction data'!E164,'Adjusted jurisdiction data'!E239,'Adjusted jurisdiction data'!E314,'Adjusted jurisdiction data'!E389,'Adjusted jurisdiction data'!E464,'Adjusted jurisdiction data'!E539)</f>
        <v>18460.202881403606</v>
      </c>
      <c r="F10" s="80">
        <f>SUM('Adjusted jurisdiction data'!F14,'Adjusted jurisdiction data'!F89,'Adjusted jurisdiction data'!F164,'Adjusted jurisdiction data'!F239,'Adjusted jurisdiction data'!F314,'Adjusted jurisdiction data'!F389,'Adjusted jurisdiction data'!F464,'Adjusted jurisdiction data'!F539)</f>
        <v>22003.840970403595</v>
      </c>
      <c r="G10" s="150"/>
      <c r="H10" s="119" t="s">
        <v>329</v>
      </c>
      <c r="I10" s="18" t="s">
        <v>330</v>
      </c>
      <c r="J10" s="80">
        <f>SUM('Adjusted jurisdiction data'!J14,'Adjusted jurisdiction data'!J89,'Adjusted jurisdiction data'!J164,'Adjusted jurisdiction data'!J239,'Adjusted jurisdiction data'!J314,'Adjusted jurisdiction data'!J389,'Adjusted jurisdiction data'!J464,'Adjusted jurisdiction data'!J539)</f>
        <v>1273.7643</v>
      </c>
      <c r="K10" s="80">
        <f>SUM('Adjusted jurisdiction data'!K14,'Adjusted jurisdiction data'!K89,'Adjusted jurisdiction data'!K164,'Adjusted jurisdiction data'!K239,'Adjusted jurisdiction data'!K314,'Adjusted jurisdiction data'!K389,'Adjusted jurisdiction data'!K464,'Adjusted jurisdiction data'!K539)</f>
        <v>1466.5863859999997</v>
      </c>
      <c r="L10" s="505">
        <f t="shared" si="0"/>
        <v>2740.3506859999998</v>
      </c>
    </row>
    <row r="11" spans="1:28" ht="15.75">
      <c r="A11" s="59" t="s">
        <v>8</v>
      </c>
      <c r="B11" s="48" t="s">
        <v>140</v>
      </c>
      <c r="C11" s="49" t="s">
        <v>9</v>
      </c>
      <c r="D11" s="48" t="s">
        <v>83</v>
      </c>
      <c r="E11" s="80">
        <f>SUM('Adjusted jurisdiction data'!E15,'Adjusted jurisdiction data'!E90,'Adjusted jurisdiction data'!E165,'Adjusted jurisdiction data'!E240,'Adjusted jurisdiction data'!E315,'Adjusted jurisdiction data'!E390,'Adjusted jurisdiction data'!E465,'Adjusted jurisdiction data'!E540)</f>
        <v>172608.00239298755</v>
      </c>
      <c r="F11" s="80">
        <f>SUM('Adjusted jurisdiction data'!F15,'Adjusted jurisdiction data'!F90,'Adjusted jurisdiction data'!F165,'Adjusted jurisdiction data'!F240,'Adjusted jurisdiction data'!F315,'Adjusted jurisdiction data'!F390,'Adjusted jurisdiction data'!F465,'Adjusted jurisdiction data'!F540)</f>
        <v>178402.55515298751</v>
      </c>
      <c r="G11" s="150"/>
      <c r="H11" s="119" t="s">
        <v>331</v>
      </c>
      <c r="I11" s="18" t="s">
        <v>332</v>
      </c>
      <c r="J11" s="80">
        <f>SUM('Adjusted jurisdiction data'!J15,'Adjusted jurisdiction data'!J90,'Adjusted jurisdiction data'!J165,'Adjusted jurisdiction data'!J240,'Adjusted jurisdiction data'!J315,'Adjusted jurisdiction data'!J390,'Adjusted jurisdiction data'!J465,'Adjusted jurisdiction data'!J540)</f>
        <v>279.30399999999997</v>
      </c>
      <c r="K11" s="80">
        <f>SUM('Adjusted jurisdiction data'!K15,'Adjusted jurisdiction data'!K90,'Adjusted jurisdiction data'!K165,'Adjusted jurisdiction data'!K240,'Adjusted jurisdiction data'!K315,'Adjusted jurisdiction data'!K390,'Adjusted jurisdiction data'!K465,'Adjusted jurisdiction data'!K540)</f>
        <v>290.27999999999997</v>
      </c>
      <c r="L11" s="505">
        <f t="shared" si="0"/>
        <v>569.58399999999995</v>
      </c>
    </row>
    <row r="12" spans="1:28" ht="15.75">
      <c r="A12" s="60" t="s">
        <v>10</v>
      </c>
      <c r="B12" s="160" t="s">
        <v>11</v>
      </c>
      <c r="C12" s="49" t="s">
        <v>12</v>
      </c>
      <c r="D12" s="48" t="s">
        <v>84</v>
      </c>
      <c r="E12" s="80">
        <f>SUM('Adjusted jurisdiction data'!E16,'Adjusted jurisdiction data'!E91,'Adjusted jurisdiction data'!E166,'Adjusted jurisdiction data'!E241,'Adjusted jurisdiction data'!E316,'Adjusted jurisdiction data'!E391,'Adjusted jurisdiction data'!E466,'Adjusted jurisdiction data'!E541)</f>
        <v>190.11022252311969</v>
      </c>
      <c r="F12" s="80">
        <f>SUM('Adjusted jurisdiction data'!F16,'Adjusted jurisdiction data'!F91,'Adjusted jurisdiction data'!F166,'Adjusted jurisdiction data'!F241,'Adjusted jurisdiction data'!F316,'Adjusted jurisdiction data'!F391,'Adjusted jurisdiction data'!F466,'Adjusted jurisdiction data'!F541)</f>
        <v>183.2142225231197</v>
      </c>
      <c r="G12" s="150"/>
      <c r="H12" s="119" t="s">
        <v>333</v>
      </c>
      <c r="I12" s="18" t="s">
        <v>334</v>
      </c>
      <c r="J12" s="80">
        <f>SUM('Adjusted jurisdiction data'!J16,'Adjusted jurisdiction data'!J91,'Adjusted jurisdiction data'!J166,'Adjusted jurisdiction data'!J241,'Adjusted jurisdiction data'!J316,'Adjusted jurisdiction data'!J391,'Adjusted jurisdiction data'!J466,'Adjusted jurisdiction data'!J541)</f>
        <v>6782.2415000000001</v>
      </c>
      <c r="K12" s="80">
        <f>SUM('Adjusted jurisdiction data'!K16,'Adjusted jurisdiction data'!K91,'Adjusted jurisdiction data'!K166,'Adjusted jurisdiction data'!K241,'Adjusted jurisdiction data'!K316,'Adjusted jurisdiction data'!K391,'Adjusted jurisdiction data'!K466,'Adjusted jurisdiction data'!K541)</f>
        <v>6948.2160000000003</v>
      </c>
      <c r="L12" s="505">
        <f t="shared" si="0"/>
        <v>13730.4575</v>
      </c>
    </row>
    <row r="13" spans="1:28" ht="15.75">
      <c r="A13" s="61"/>
      <c r="B13" s="162"/>
      <c r="C13" s="49" t="s">
        <v>13</v>
      </c>
      <c r="D13" s="48" t="s">
        <v>85</v>
      </c>
      <c r="E13" s="80">
        <f>SUM('Adjusted jurisdiction data'!E17,'Adjusted jurisdiction data'!E92,'Adjusted jurisdiction data'!E167,'Adjusted jurisdiction data'!E242,'Adjusted jurisdiction data'!E317,'Adjusted jurisdiction data'!E392,'Adjusted jurisdiction data'!E467,'Adjusted jurisdiction data'!E542)</f>
        <v>4395.8369499999999</v>
      </c>
      <c r="F13" s="80">
        <f>SUM('Adjusted jurisdiction data'!F17,'Adjusted jurisdiction data'!F92,'Adjusted jurisdiction data'!F167,'Adjusted jurisdiction data'!F242,'Adjusted jurisdiction data'!F317,'Adjusted jurisdiction data'!F392,'Adjusted jurisdiction data'!F467,'Adjusted jurisdiction data'!F542)</f>
        <v>8771.213499999998</v>
      </c>
      <c r="G13" s="150"/>
      <c r="H13" s="119" t="s">
        <v>335</v>
      </c>
      <c r="I13" s="18" t="s">
        <v>336</v>
      </c>
      <c r="J13" s="80">
        <f>SUM('Adjusted jurisdiction data'!J17,'Adjusted jurisdiction data'!J92,'Adjusted jurisdiction data'!J167,'Adjusted jurisdiction data'!J242,'Adjusted jurisdiction data'!J317,'Adjusted jurisdiction data'!J392,'Adjusted jurisdiction data'!J467,'Adjusted jurisdiction data'!J542)</f>
        <v>6.5759265334999997</v>
      </c>
      <c r="K13" s="80">
        <f>SUM('Adjusted jurisdiction data'!K17,'Adjusted jurisdiction data'!K92,'Adjusted jurisdiction data'!K167,'Adjusted jurisdiction data'!K242,'Adjusted jurisdiction data'!K317,'Adjusted jurisdiction data'!K392,'Adjusted jurisdiction data'!K467,'Adjusted jurisdiction data'!K542)</f>
        <v>6.5759265334999997</v>
      </c>
      <c r="L13" s="505">
        <f t="shared" si="0"/>
        <v>13.151853066999999</v>
      </c>
    </row>
    <row r="14" spans="1:28" ht="15.75">
      <c r="A14" s="61"/>
      <c r="B14" s="162"/>
      <c r="C14" s="49" t="s">
        <v>14</v>
      </c>
      <c r="D14" s="48" t="s">
        <v>86</v>
      </c>
      <c r="E14" s="80">
        <f>SUM('Adjusted jurisdiction data'!E18,'Adjusted jurisdiction data'!E93,'Adjusted jurisdiction data'!E168,'Adjusted jurisdiction data'!E243,'Adjusted jurisdiction data'!E318,'Adjusted jurisdiction data'!E393,'Adjusted jurisdiction data'!E468,'Adjusted jurisdiction data'!E543)</f>
        <v>320.29835780333087</v>
      </c>
      <c r="F14" s="80">
        <f>SUM('Adjusted jurisdiction data'!F18,'Adjusted jurisdiction data'!F93,'Adjusted jurisdiction data'!F168,'Adjusted jurisdiction data'!F243,'Adjusted jurisdiction data'!F318,'Adjusted jurisdiction data'!F393,'Adjusted jurisdiction data'!F468,'Adjusted jurisdiction data'!F543)</f>
        <v>1871.1240538033289</v>
      </c>
      <c r="G14" s="150"/>
      <c r="H14" s="119" t="s">
        <v>337</v>
      </c>
      <c r="I14" s="18" t="s">
        <v>322</v>
      </c>
      <c r="J14" s="80">
        <f>SUM('Adjusted jurisdiction data'!J18,'Adjusted jurisdiction data'!J93,'Adjusted jurisdiction data'!J168,'Adjusted jurisdiction data'!J243,'Adjusted jurisdiction data'!J318,'Adjusted jurisdiction data'!J393,'Adjusted jurisdiction data'!J468,'Adjusted jurisdiction data'!J543)</f>
        <v>122400.93139987125</v>
      </c>
      <c r="K14" s="80">
        <f>SUM('Adjusted jurisdiction data'!K18,'Adjusted jurisdiction data'!K93,'Adjusted jurisdiction data'!K168,'Adjusted jurisdiction data'!K243,'Adjusted jurisdiction data'!K318,'Adjusted jurisdiction data'!K393,'Adjusted jurisdiction data'!K468,'Adjusted jurisdiction data'!K543)</f>
        <v>118229.42432287108</v>
      </c>
      <c r="L14" s="505">
        <f t="shared" si="0"/>
        <v>240630.35572274233</v>
      </c>
    </row>
    <row r="15" spans="1:28" ht="15.75">
      <c r="A15" s="61"/>
      <c r="B15" s="162"/>
      <c r="C15" s="49" t="s">
        <v>15</v>
      </c>
      <c r="D15" s="48" t="s">
        <v>87</v>
      </c>
      <c r="E15" s="80">
        <f>SUM('Adjusted jurisdiction data'!E19,'Adjusted jurisdiction data'!E94,'Adjusted jurisdiction data'!E169,'Adjusted jurisdiction data'!E244,'Adjusted jurisdiction data'!E319,'Adjusted jurisdiction data'!E394,'Adjusted jurisdiction data'!E469,'Adjusted jurisdiction data'!E544)</f>
        <v>104.29</v>
      </c>
      <c r="F15" s="80">
        <f>SUM('Adjusted jurisdiction data'!F19,'Adjusted jurisdiction data'!F94,'Adjusted jurisdiction data'!F169,'Adjusted jurisdiction data'!F244,'Adjusted jurisdiction data'!F319,'Adjusted jurisdiction data'!F394,'Adjusted jurisdiction data'!F469,'Adjusted jurisdiction data'!F544)</f>
        <v>95.368500000000012</v>
      </c>
      <c r="G15" s="150"/>
      <c r="H15" s="119" t="s">
        <v>338</v>
      </c>
      <c r="I15" s="18" t="s">
        <v>339</v>
      </c>
      <c r="J15" s="80">
        <f>SUM('Adjusted jurisdiction data'!J19,'Adjusted jurisdiction data'!J94,'Adjusted jurisdiction data'!J169,'Adjusted jurisdiction data'!J244,'Adjusted jurisdiction data'!J319,'Adjusted jurisdiction data'!J394,'Adjusted jurisdiction data'!J469,'Adjusted jurisdiction data'!J544)</f>
        <v>212459.67910308443</v>
      </c>
      <c r="K15" s="80">
        <f>SUM('Adjusted jurisdiction data'!K19,'Adjusted jurisdiction data'!K94,'Adjusted jurisdiction data'!K169,'Adjusted jurisdiction data'!K244,'Adjusted jurisdiction data'!K319,'Adjusted jurisdiction data'!K394,'Adjusted jurisdiction data'!K469,'Adjusted jurisdiction data'!K544)</f>
        <v>204063.48317108391</v>
      </c>
      <c r="L15" s="505">
        <f t="shared" si="0"/>
        <v>416523.16227416834</v>
      </c>
    </row>
    <row r="16" spans="1:28" ht="15.75">
      <c r="A16" s="61"/>
      <c r="B16" s="162"/>
      <c r="C16" s="49" t="s">
        <v>16</v>
      </c>
      <c r="D16" s="48" t="s">
        <v>88</v>
      </c>
      <c r="E16" s="80">
        <f>SUM('Adjusted jurisdiction data'!E20,'Adjusted jurisdiction data'!E95,'Adjusted jurisdiction data'!E170,'Adjusted jurisdiction data'!E245,'Adjusted jurisdiction data'!E320,'Adjusted jurisdiction data'!E395,'Adjusted jurisdiction data'!E470,'Adjusted jurisdiction data'!E545)</f>
        <v>645.09170000000006</v>
      </c>
      <c r="F16" s="80">
        <f>SUM('Adjusted jurisdiction data'!F20,'Adjusted jurisdiction data'!F95,'Adjusted jurisdiction data'!F170,'Adjusted jurisdiction data'!F245,'Adjusted jurisdiction data'!F320,'Adjusted jurisdiction data'!F395,'Adjusted jurisdiction data'!F470,'Adjusted jurisdiction data'!F545)</f>
        <v>985.01960000000008</v>
      </c>
      <c r="G16" s="150"/>
      <c r="H16" s="119" t="s">
        <v>340</v>
      </c>
      <c r="I16" s="18" t="s">
        <v>341</v>
      </c>
      <c r="J16" s="80">
        <f>SUM('Adjusted jurisdiction data'!J20,'Adjusted jurisdiction data'!J95,'Adjusted jurisdiction data'!J170,'Adjusted jurisdiction data'!J245,'Adjusted jurisdiction data'!J320,'Adjusted jurisdiction data'!J395,'Adjusted jurisdiction data'!J470,'Adjusted jurisdiction data'!J545)</f>
        <v>2003.0089762254918</v>
      </c>
      <c r="K16" s="80">
        <f>SUM('Adjusted jurisdiction data'!K20,'Adjusted jurisdiction data'!K95,'Adjusted jurisdiction data'!K170,'Adjusted jurisdiction data'!K245,'Adjusted jurisdiction data'!K320,'Adjusted jurisdiction data'!K395,'Adjusted jurisdiction data'!K470,'Adjusted jurisdiction data'!K545)</f>
        <v>2139.1027762254917</v>
      </c>
      <c r="L16" s="505">
        <f>SUM(J16:K16)</f>
        <v>4142.1117524509837</v>
      </c>
    </row>
    <row r="17" spans="1:12" ht="15.75">
      <c r="A17" s="61"/>
      <c r="B17" s="162"/>
      <c r="C17" s="49" t="s">
        <v>17</v>
      </c>
      <c r="D17" s="48" t="s">
        <v>89</v>
      </c>
      <c r="E17" s="80">
        <f>SUM('Adjusted jurisdiction data'!E21,'Adjusted jurisdiction data'!E96,'Adjusted jurisdiction data'!E171,'Adjusted jurisdiction data'!E246,'Adjusted jurisdiction data'!E321,'Adjusted jurisdiction data'!E396,'Adjusted jurisdiction data'!E471,'Adjusted jurisdiction data'!E546)</f>
        <v>10.361500000000001</v>
      </c>
      <c r="F17" s="80">
        <f>SUM('Adjusted jurisdiction data'!F21,'Adjusted jurisdiction data'!F96,'Adjusted jurisdiction data'!F171,'Adjusted jurisdiction data'!F246,'Adjusted jurisdiction data'!F321,'Adjusted jurisdiction data'!F396,'Adjusted jurisdiction data'!F471,'Adjusted jurisdiction data'!F546)</f>
        <v>20.77</v>
      </c>
      <c r="G17" s="150"/>
      <c r="H17" s="119" t="s">
        <v>342</v>
      </c>
      <c r="I17" s="18" t="s">
        <v>343</v>
      </c>
      <c r="J17" s="80">
        <f>SUM('Adjusted jurisdiction data'!J21,'Adjusted jurisdiction data'!J96,'Adjusted jurisdiction data'!J171,'Adjusted jurisdiction data'!J246,'Adjusted jurisdiction data'!J321,'Adjusted jurisdiction data'!J396,'Adjusted jurisdiction data'!J471,'Adjusted jurisdiction data'!J546)</f>
        <v>10126.244700743533</v>
      </c>
      <c r="K17" s="80">
        <f>SUM('Adjusted jurisdiction data'!K21,'Adjusted jurisdiction data'!K96,'Adjusted jurisdiction data'!K171,'Adjusted jurisdiction data'!K246,'Adjusted jurisdiction data'!K321,'Adjusted jurisdiction data'!K396,'Adjusted jurisdiction data'!K471,'Adjusted jurisdiction data'!K546)</f>
        <v>17472.861700743531</v>
      </c>
      <c r="L17" s="505">
        <f t="shared" ref="L17:L64" si="1">SUM(J17:K17)</f>
        <v>27599.106401487064</v>
      </c>
    </row>
    <row r="18" spans="1:12" ht="15.75">
      <c r="A18" s="61"/>
      <c r="B18" s="162"/>
      <c r="C18" s="49" t="s">
        <v>18</v>
      </c>
      <c r="D18" s="48" t="s">
        <v>90</v>
      </c>
      <c r="E18" s="80">
        <f>SUM('Adjusted jurisdiction data'!E22,'Adjusted jurisdiction data'!E97,'Adjusted jurisdiction data'!E172,'Adjusted jurisdiction data'!E247,'Adjusted jurisdiction data'!E322,'Adjusted jurisdiction data'!E397,'Adjusted jurisdiction data'!E472,'Adjusted jurisdiction data'!E547)</f>
        <v>4.7009999999999996</v>
      </c>
      <c r="F18" s="80">
        <f>SUM('Adjusted jurisdiction data'!F22,'Adjusted jurisdiction data'!F97,'Adjusted jurisdiction data'!F172,'Adjusted jurisdiction data'!F247,'Adjusted jurisdiction data'!F322,'Adjusted jurisdiction data'!F397,'Adjusted jurisdiction data'!F472,'Adjusted jurisdiction data'!F547)</f>
        <v>0.68500000000000005</v>
      </c>
      <c r="G18" s="150"/>
      <c r="H18" s="119" t="s">
        <v>344</v>
      </c>
      <c r="I18" s="18" t="s">
        <v>345</v>
      </c>
      <c r="J18" s="80">
        <f>SUM('Adjusted jurisdiction data'!J22,'Adjusted jurisdiction data'!J97,'Adjusted jurisdiction data'!J172,'Adjusted jurisdiction data'!J247,'Adjusted jurisdiction data'!J322,'Adjusted jurisdiction data'!J397,'Adjusted jurisdiction data'!J472,'Adjusted jurisdiction data'!J547)</f>
        <v>21646.013352327907</v>
      </c>
      <c r="K18" s="80">
        <f>SUM('Adjusted jurisdiction data'!K22,'Adjusted jurisdiction data'!K97,'Adjusted jurisdiction data'!K172,'Adjusted jurisdiction data'!K247,'Adjusted jurisdiction data'!K322,'Adjusted jurisdiction data'!K397,'Adjusted jurisdiction data'!K472,'Adjusted jurisdiction data'!K547)</f>
        <v>22463.744732327898</v>
      </c>
      <c r="L18" s="505">
        <f t="shared" si="1"/>
        <v>44109.758084655805</v>
      </c>
    </row>
    <row r="19" spans="1:12" ht="15.75">
      <c r="A19" s="61"/>
      <c r="B19" s="162"/>
      <c r="C19" s="49" t="s">
        <v>19</v>
      </c>
      <c r="D19" s="48" t="s">
        <v>141</v>
      </c>
      <c r="E19" s="80">
        <f>SUM('Adjusted jurisdiction data'!E23,'Adjusted jurisdiction data'!E98,'Adjusted jurisdiction data'!E173,'Adjusted jurisdiction data'!E248,'Adjusted jurisdiction data'!E323,'Adjusted jurisdiction data'!E398,'Adjusted jurisdiction data'!E473,'Adjusted jurisdiction data'!E548)</f>
        <v>0.91199999999999992</v>
      </c>
      <c r="F19" s="80">
        <f>SUM('Adjusted jurisdiction data'!F23,'Adjusted jurisdiction data'!F98,'Adjusted jurisdiction data'!F173,'Adjusted jurisdiction data'!F248,'Adjusted jurisdiction data'!F323,'Adjusted jurisdiction data'!F398,'Adjusted jurisdiction data'!F473,'Adjusted jurisdiction data'!F548)</f>
        <v>2.9681000000000002</v>
      </c>
      <c r="G19" s="150"/>
      <c r="H19" s="119" t="s">
        <v>346</v>
      </c>
      <c r="I19" s="18" t="s">
        <v>347</v>
      </c>
      <c r="J19" s="80">
        <f>SUM('Adjusted jurisdiction data'!J23,'Adjusted jurisdiction data'!J98,'Adjusted jurisdiction data'!J173,'Adjusted jurisdiction data'!J248,'Adjusted jurisdiction data'!J323,'Adjusted jurisdiction data'!J398,'Adjusted jurisdiction data'!J473,'Adjusted jurisdiction data'!J548)</f>
        <v>2225.7110784333886</v>
      </c>
      <c r="K19" s="80">
        <f>SUM('Adjusted jurisdiction data'!K23,'Adjusted jurisdiction data'!K98,'Adjusted jurisdiction data'!K173,'Adjusted jurisdiction data'!K248,'Adjusted jurisdiction data'!K323,'Adjusted jurisdiction data'!K398,'Adjusted jurisdiction data'!K473,'Adjusted jurisdiction data'!K548)</f>
        <v>2566.1508104333889</v>
      </c>
      <c r="L19" s="505">
        <f t="shared" si="1"/>
        <v>4791.861888866777</v>
      </c>
    </row>
    <row r="20" spans="1:12" ht="15.75">
      <c r="A20" s="61"/>
      <c r="B20" s="162"/>
      <c r="C20" s="49" t="s">
        <v>142</v>
      </c>
      <c r="D20" s="48" t="s">
        <v>143</v>
      </c>
      <c r="E20" s="80">
        <f>SUM('Adjusted jurisdiction data'!E24,'Adjusted jurisdiction data'!E99,'Adjusted jurisdiction data'!E174,'Adjusted jurisdiction data'!E249,'Adjusted jurisdiction data'!E324,'Adjusted jurisdiction data'!E399,'Adjusted jurisdiction data'!E474,'Adjusted jurisdiction data'!E549)</f>
        <v>0.2</v>
      </c>
      <c r="F20" s="80">
        <f>SUM('Adjusted jurisdiction data'!F24,'Adjusted jurisdiction data'!F99,'Adjusted jurisdiction data'!F174,'Adjusted jurisdiction data'!F249,'Adjusted jurisdiction data'!F324,'Adjusted jurisdiction data'!F399,'Adjusted jurisdiction data'!F474,'Adjusted jurisdiction data'!F549)</f>
        <v>0</v>
      </c>
      <c r="G20" s="150"/>
      <c r="H20" s="119" t="s">
        <v>348</v>
      </c>
      <c r="I20" s="18" t="s">
        <v>349</v>
      </c>
      <c r="J20" s="80">
        <f>SUM('Adjusted jurisdiction data'!J24,'Adjusted jurisdiction data'!J99,'Adjusted jurisdiction data'!J174,'Adjusted jurisdiction data'!J249,'Adjusted jurisdiction data'!J324,'Adjusted jurisdiction data'!J399,'Adjusted jurisdiction data'!J474,'Adjusted jurisdiction data'!J549)</f>
        <v>2936.4594436561001</v>
      </c>
      <c r="K20" s="80">
        <f>SUM('Adjusted jurisdiction data'!K24,'Adjusted jurisdiction data'!K99,'Adjusted jurisdiction data'!K174,'Adjusted jurisdiction data'!K249,'Adjusted jurisdiction data'!K324,'Adjusted jurisdiction data'!K399,'Adjusted jurisdiction data'!K474,'Adjusted jurisdiction data'!K549)</f>
        <v>2970.8494056561008</v>
      </c>
      <c r="L20" s="505">
        <f t="shared" si="1"/>
        <v>5907.3088493122013</v>
      </c>
    </row>
    <row r="21" spans="1:12" ht="15.75">
      <c r="A21" s="61"/>
      <c r="B21" s="162"/>
      <c r="C21" s="49" t="s">
        <v>20</v>
      </c>
      <c r="D21" s="48" t="s">
        <v>91</v>
      </c>
      <c r="E21" s="80">
        <f>SUM('Adjusted jurisdiction data'!E25,'Adjusted jurisdiction data'!E100,'Adjusted jurisdiction data'!E175,'Adjusted jurisdiction data'!E250,'Adjusted jurisdiction data'!E325,'Adjusted jurisdiction data'!E400,'Adjusted jurisdiction data'!E475,'Adjusted jurisdiction data'!E550)</f>
        <v>439.25599999999997</v>
      </c>
      <c r="F21" s="80">
        <f>SUM('Adjusted jurisdiction data'!F25,'Adjusted jurisdiction data'!F100,'Adjusted jurisdiction data'!F175,'Adjusted jurisdiction data'!F250,'Adjusted jurisdiction data'!F325,'Adjusted jurisdiction data'!F400,'Adjusted jurisdiction data'!F475,'Adjusted jurisdiction data'!F550)</f>
        <v>350.06</v>
      </c>
      <c r="G21" s="150"/>
      <c r="H21" s="119" t="s">
        <v>350</v>
      </c>
      <c r="I21" s="18" t="s">
        <v>351</v>
      </c>
      <c r="J21" s="80">
        <f>SUM('Adjusted jurisdiction data'!J25,'Adjusted jurisdiction data'!J100,'Adjusted jurisdiction data'!J175,'Adjusted jurisdiction data'!J250,'Adjusted jurisdiction data'!J325,'Adjusted jurisdiction data'!J400,'Adjusted jurisdiction data'!J475,'Adjusted jurisdiction data'!J550)</f>
        <v>1238.7445</v>
      </c>
      <c r="K21" s="80">
        <f>SUM('Adjusted jurisdiction data'!K25,'Adjusted jurisdiction data'!K100,'Adjusted jurisdiction data'!K175,'Adjusted jurisdiction data'!K250,'Adjusted jurisdiction data'!K325,'Adjusted jurisdiction data'!K400,'Adjusted jurisdiction data'!K475,'Adjusted jurisdiction data'!K550)</f>
        <v>1202.4274999999998</v>
      </c>
      <c r="L21" s="505">
        <f t="shared" si="1"/>
        <v>2441.1719999999996</v>
      </c>
    </row>
    <row r="22" spans="1:12" ht="15.75">
      <c r="A22" s="61"/>
      <c r="B22" s="162"/>
      <c r="C22" s="49" t="s">
        <v>21</v>
      </c>
      <c r="D22" s="48" t="s">
        <v>144</v>
      </c>
      <c r="E22" s="80">
        <f>SUM('Adjusted jurisdiction data'!E26,'Adjusted jurisdiction data'!E101,'Adjusted jurisdiction data'!E176,'Adjusted jurisdiction data'!E251,'Adjusted jurisdiction data'!E326,'Adjusted jurisdiction data'!E401,'Adjusted jurisdiction data'!E476,'Adjusted jurisdiction data'!E551)</f>
        <v>1.6</v>
      </c>
      <c r="F22" s="80">
        <f>SUM('Adjusted jurisdiction data'!F26,'Adjusted jurisdiction data'!F101,'Adjusted jurisdiction data'!F176,'Adjusted jurisdiction data'!F251,'Adjusted jurisdiction data'!F326,'Adjusted jurisdiction data'!F401,'Adjusted jurisdiction data'!F476,'Adjusted jurisdiction data'!F551)</f>
        <v>3</v>
      </c>
      <c r="G22" s="150"/>
      <c r="H22" s="119" t="s">
        <v>352</v>
      </c>
      <c r="I22" s="18" t="s">
        <v>353</v>
      </c>
      <c r="J22" s="80">
        <f>SUM('Adjusted jurisdiction data'!J26,'Adjusted jurisdiction data'!J101,'Adjusted jurisdiction data'!J176,'Adjusted jurisdiction data'!J251,'Adjusted jurisdiction data'!J326,'Adjusted jurisdiction data'!J401,'Adjusted jurisdiction data'!J476,'Adjusted jurisdiction data'!J551)</f>
        <v>452.62504999999993</v>
      </c>
      <c r="K22" s="80">
        <f>SUM('Adjusted jurisdiction data'!K26,'Adjusted jurisdiction data'!K101,'Adjusted jurisdiction data'!K176,'Adjusted jurisdiction data'!K251,'Adjusted jurisdiction data'!K326,'Adjusted jurisdiction data'!K401,'Adjusted jurisdiction data'!K476,'Adjusted jurisdiction data'!K551)</f>
        <v>373.28799999999995</v>
      </c>
      <c r="L22" s="505">
        <f t="shared" si="1"/>
        <v>825.91304999999988</v>
      </c>
    </row>
    <row r="23" spans="1:12" ht="15.75">
      <c r="A23" s="61"/>
      <c r="B23" s="162"/>
      <c r="C23" s="49" t="s">
        <v>22</v>
      </c>
      <c r="D23" s="48" t="s">
        <v>92</v>
      </c>
      <c r="E23" s="80">
        <f>SUM('Adjusted jurisdiction data'!E27,'Adjusted jurisdiction data'!E102,'Adjusted jurisdiction data'!E177,'Adjusted jurisdiction data'!E252,'Adjusted jurisdiction data'!E327,'Adjusted jurisdiction data'!E402,'Adjusted jurisdiction data'!E477,'Adjusted jurisdiction data'!E552)</f>
        <v>540.17399999999998</v>
      </c>
      <c r="F23" s="80">
        <f>SUM('Adjusted jurisdiction data'!F27,'Adjusted jurisdiction data'!F102,'Adjusted jurisdiction data'!F177,'Adjusted jurisdiction data'!F252,'Adjusted jurisdiction data'!F327,'Adjusted jurisdiction data'!F402,'Adjusted jurisdiction data'!F477,'Adjusted jurisdiction data'!F552)</f>
        <v>574.87599999999998</v>
      </c>
      <c r="G23" s="150"/>
      <c r="H23" s="119" t="s">
        <v>354</v>
      </c>
      <c r="I23" s="18" t="s">
        <v>355</v>
      </c>
      <c r="J23" s="80">
        <f>SUM('Adjusted jurisdiction data'!J27,'Adjusted jurisdiction data'!J102,'Adjusted jurisdiction data'!J177,'Adjusted jurisdiction data'!J252,'Adjusted jurisdiction data'!J327,'Adjusted jurisdiction data'!J402,'Adjusted jurisdiction data'!J477,'Adjusted jurisdiction data'!J552)</f>
        <v>2672.23</v>
      </c>
      <c r="K23" s="80">
        <f>SUM('Adjusted jurisdiction data'!K27,'Adjusted jurisdiction data'!K102,'Adjusted jurisdiction data'!K177,'Adjusted jurisdiction data'!K252,'Adjusted jurisdiction data'!K327,'Adjusted jurisdiction data'!K402,'Adjusted jurisdiction data'!K477,'Adjusted jurisdiction data'!K552)</f>
        <v>2407.5663999999997</v>
      </c>
      <c r="L23" s="505">
        <f t="shared" si="1"/>
        <v>5079.7963999999993</v>
      </c>
    </row>
    <row r="24" spans="1:12" ht="15.75">
      <c r="A24" s="61"/>
      <c r="B24" s="162"/>
      <c r="C24" s="49" t="s">
        <v>23</v>
      </c>
      <c r="D24" s="48" t="s">
        <v>93</v>
      </c>
      <c r="E24" s="80">
        <f>SUM('Adjusted jurisdiction data'!E28,'Adjusted jurisdiction data'!E103,'Adjusted jurisdiction data'!E178,'Adjusted jurisdiction data'!E253,'Adjusted jurisdiction data'!E328,'Adjusted jurisdiction data'!E403,'Adjusted jurisdiction data'!E478,'Adjusted jurisdiction data'!E553)</f>
        <v>64508.845508197439</v>
      </c>
      <c r="F24" s="80">
        <f>SUM('Adjusted jurisdiction data'!F28,'Adjusted jurisdiction data'!F103,'Adjusted jurisdiction data'!F178,'Adjusted jurisdiction data'!F253,'Adjusted jurisdiction data'!F328,'Adjusted jurisdiction data'!F403,'Adjusted jurisdiction data'!F478,'Adjusted jurisdiction data'!F553)</f>
        <v>68665.247508197426</v>
      </c>
      <c r="G24" s="150"/>
      <c r="H24" s="119" t="s">
        <v>356</v>
      </c>
      <c r="I24" s="18" t="s">
        <v>357</v>
      </c>
      <c r="J24" s="80">
        <f>SUM('Adjusted jurisdiction data'!J28,'Adjusted jurisdiction data'!J103,'Adjusted jurisdiction data'!J178,'Adjusted jurisdiction data'!J253,'Adjusted jurisdiction data'!J328,'Adjusted jurisdiction data'!J403,'Adjusted jurisdiction data'!J478,'Adjusted jurisdiction data'!J553)</f>
        <v>788720.09045258351</v>
      </c>
      <c r="K24" s="80">
        <f>SUM('Adjusted jurisdiction data'!K28,'Adjusted jurisdiction data'!K103,'Adjusted jurisdiction data'!K178,'Adjusted jurisdiction data'!K253,'Adjusted jurisdiction data'!K328,'Adjusted jurisdiction data'!K403,'Adjusted jurisdiction data'!K478,'Adjusted jurisdiction data'!K553)</f>
        <v>1041890.4426875834</v>
      </c>
      <c r="L24" s="505">
        <f t="shared" si="1"/>
        <v>1830610.5331401669</v>
      </c>
    </row>
    <row r="25" spans="1:12">
      <c r="A25" s="61"/>
      <c r="B25" s="162"/>
      <c r="C25" s="49" t="s">
        <v>24</v>
      </c>
      <c r="D25" s="48" t="s">
        <v>94</v>
      </c>
      <c r="E25" s="80">
        <f>SUM('Adjusted jurisdiction data'!E29,'Adjusted jurisdiction data'!E104,'Adjusted jurisdiction data'!E179,'Adjusted jurisdiction data'!E254,'Adjusted jurisdiction data'!E329,'Adjusted jurisdiction data'!E404,'Adjusted jurisdiction data'!E479,'Adjusted jurisdiction data'!E554)</f>
        <v>108065.11699999998</v>
      </c>
      <c r="F25" s="80">
        <f>SUM('Adjusted jurisdiction data'!F29,'Adjusted jurisdiction data'!F104,'Adjusted jurisdiction data'!F179,'Adjusted jurisdiction data'!F254,'Adjusted jurisdiction data'!F329,'Adjusted jurisdiction data'!F404,'Adjusted jurisdiction data'!F479,'Adjusted jurisdiction data'!F554)</f>
        <v>103390.08129999999</v>
      </c>
      <c r="G25" s="150"/>
      <c r="H25" s="62"/>
      <c r="I25" s="63" t="s">
        <v>407</v>
      </c>
      <c r="J25" s="65"/>
      <c r="K25" s="65"/>
      <c r="L25" s="65"/>
    </row>
    <row r="26" spans="1:12" ht="15.75">
      <c r="A26" s="61"/>
      <c r="B26" s="162"/>
      <c r="C26" s="49" t="s">
        <v>25</v>
      </c>
      <c r="D26" s="48" t="s">
        <v>145</v>
      </c>
      <c r="E26" s="80">
        <f>SUM('Adjusted jurisdiction data'!E30,'Adjusted jurisdiction data'!E105,'Adjusted jurisdiction data'!E180,'Adjusted jurisdiction data'!E255,'Adjusted jurisdiction data'!E330,'Adjusted jurisdiction data'!E405,'Adjusted jurisdiction data'!E480,'Adjusted jurisdiction data'!E555)</f>
        <v>3.76</v>
      </c>
      <c r="F26" s="80">
        <f>SUM('Adjusted jurisdiction data'!F30,'Adjusted jurisdiction data'!F105,'Adjusted jurisdiction data'!F180,'Adjusted jurisdiction data'!F255,'Adjusted jurisdiction data'!F330,'Adjusted jurisdiction data'!F405,'Adjusted jurisdiction data'!F480,'Adjusted jurisdiction data'!F555)</f>
        <v>36.18</v>
      </c>
      <c r="G26" s="150"/>
      <c r="H26" s="119" t="s">
        <v>358</v>
      </c>
      <c r="I26" s="19" t="s">
        <v>84</v>
      </c>
      <c r="J26" s="80">
        <f>SUM('Adjusted jurisdiction data'!J30,'Adjusted jurisdiction data'!J105,'Adjusted jurisdiction data'!J180,'Adjusted jurisdiction data'!J255,'Adjusted jurisdiction data'!J330,'Adjusted jurisdiction data'!J405,'Adjusted jurisdiction data'!J480,'Adjusted jurisdiction data'!J555)</f>
        <v>190.11022252311969</v>
      </c>
      <c r="K26" s="80">
        <f>SUM('Adjusted jurisdiction data'!K30,'Adjusted jurisdiction data'!K105,'Adjusted jurisdiction data'!K180,'Adjusted jurisdiction data'!K255,'Adjusted jurisdiction data'!K330,'Adjusted jurisdiction data'!K405,'Adjusted jurisdiction data'!K480,'Adjusted jurisdiction data'!K555)</f>
        <v>183.2142225231197</v>
      </c>
      <c r="L26" s="505">
        <f t="shared" si="1"/>
        <v>373.32444504623936</v>
      </c>
    </row>
    <row r="27" spans="1:12" ht="15.75">
      <c r="A27" s="61"/>
      <c r="B27" s="162"/>
      <c r="C27" s="49" t="s">
        <v>146</v>
      </c>
      <c r="D27" s="48" t="s">
        <v>147</v>
      </c>
      <c r="E27" s="80">
        <f>SUM('Adjusted jurisdiction data'!E31,'Adjusted jurisdiction data'!E106,'Adjusted jurisdiction data'!E181,'Adjusted jurisdiction data'!E256,'Adjusted jurisdiction data'!E331,'Adjusted jurisdiction data'!E406,'Adjusted jurisdiction data'!E481,'Adjusted jurisdiction data'!E556)</f>
        <v>5.0000000000000001E-3</v>
      </c>
      <c r="F27" s="80">
        <f>SUM('Adjusted jurisdiction data'!F31,'Adjusted jurisdiction data'!F106,'Adjusted jurisdiction data'!F181,'Adjusted jurisdiction data'!F256,'Adjusted jurisdiction data'!F331,'Adjusted jurisdiction data'!F406,'Adjusted jurisdiction data'!F481,'Adjusted jurisdiction data'!F556)</f>
        <v>0</v>
      </c>
      <c r="G27" s="150"/>
      <c r="H27" s="119" t="s">
        <v>359</v>
      </c>
      <c r="I27" s="19" t="s">
        <v>90</v>
      </c>
      <c r="J27" s="80">
        <f>SUM('Adjusted jurisdiction data'!J31,'Adjusted jurisdiction data'!J106,'Adjusted jurisdiction data'!J181,'Adjusted jurisdiction data'!J256,'Adjusted jurisdiction data'!J331,'Adjusted jurisdiction data'!J406,'Adjusted jurisdiction data'!J481,'Adjusted jurisdiction data'!J556)</f>
        <v>4.7009999999999996</v>
      </c>
      <c r="K27" s="80">
        <f>SUM('Adjusted jurisdiction data'!K31,'Adjusted jurisdiction data'!K106,'Adjusted jurisdiction data'!K181,'Adjusted jurisdiction data'!K256,'Adjusted jurisdiction data'!K331,'Adjusted jurisdiction data'!K406,'Adjusted jurisdiction data'!K481,'Adjusted jurisdiction data'!K556)</f>
        <v>0.68500000000000005</v>
      </c>
      <c r="L27" s="505">
        <f t="shared" si="1"/>
        <v>5.3859999999999992</v>
      </c>
    </row>
    <row r="28" spans="1:12" ht="15.75">
      <c r="A28" s="61"/>
      <c r="B28" s="162"/>
      <c r="C28" s="49" t="s">
        <v>148</v>
      </c>
      <c r="D28" s="48" t="s">
        <v>149</v>
      </c>
      <c r="E28" s="80">
        <f>SUM('Adjusted jurisdiction data'!E32,'Adjusted jurisdiction data'!E107,'Adjusted jurisdiction data'!E182,'Adjusted jurisdiction data'!E257,'Adjusted jurisdiction data'!E332,'Adjusted jurisdiction data'!E407,'Adjusted jurisdiction data'!E482,'Adjusted jurisdiction data'!E557)</f>
        <v>27.5</v>
      </c>
      <c r="F28" s="80">
        <f>SUM('Adjusted jurisdiction data'!F32,'Adjusted jurisdiction data'!F107,'Adjusted jurisdiction data'!F182,'Adjusted jurisdiction data'!F257,'Adjusted jurisdiction data'!F332,'Adjusted jurisdiction data'!F407,'Adjusted jurisdiction data'!F482,'Adjusted jurisdiction data'!F557)</f>
        <v>27.5</v>
      </c>
      <c r="G28" s="150"/>
      <c r="H28" s="119" t="s">
        <v>360</v>
      </c>
      <c r="I28" s="19" t="s">
        <v>361</v>
      </c>
      <c r="J28" s="80">
        <f>SUM('Adjusted jurisdiction data'!J32,'Adjusted jurisdiction data'!J107,'Adjusted jurisdiction data'!J182,'Adjusted jurisdiction data'!J257,'Adjusted jurisdiction data'!J332,'Adjusted jurisdiction data'!J407,'Adjusted jurisdiction data'!J482,'Adjusted jurisdiction data'!J557)</f>
        <v>645.09170000000006</v>
      </c>
      <c r="K28" s="80">
        <f>SUM('Adjusted jurisdiction data'!K32,'Adjusted jurisdiction data'!K107,'Adjusted jurisdiction data'!K182,'Adjusted jurisdiction data'!K257,'Adjusted jurisdiction data'!K332,'Adjusted jurisdiction data'!K407,'Adjusted jurisdiction data'!K482,'Adjusted jurisdiction data'!K557)</f>
        <v>985.01960000000008</v>
      </c>
      <c r="L28" s="505">
        <f t="shared" si="1"/>
        <v>1630.1113</v>
      </c>
    </row>
    <row r="29" spans="1:12" ht="15.75">
      <c r="A29" s="61"/>
      <c r="B29" s="162"/>
      <c r="C29" s="49" t="s">
        <v>26</v>
      </c>
      <c r="D29" s="48" t="s">
        <v>150</v>
      </c>
      <c r="E29" s="80">
        <f>SUM('Adjusted jurisdiction data'!E33,'Adjusted jurisdiction data'!E108,'Adjusted jurisdiction data'!E183,'Adjusted jurisdiction data'!E258,'Adjusted jurisdiction data'!E333,'Adjusted jurisdiction data'!E408,'Adjusted jurisdiction data'!E483,'Adjusted jurisdiction data'!E558)</f>
        <v>0.995</v>
      </c>
      <c r="F29" s="80">
        <f>SUM('Adjusted jurisdiction data'!F33,'Adjusted jurisdiction data'!F108,'Adjusted jurisdiction data'!F183,'Adjusted jurisdiction data'!F258,'Adjusted jurisdiction data'!F333,'Adjusted jurisdiction data'!F408,'Adjusted jurisdiction data'!F483,'Adjusted jurisdiction data'!F558)</f>
        <v>2E-3</v>
      </c>
      <c r="G29" s="150"/>
      <c r="H29" s="119" t="s">
        <v>362</v>
      </c>
      <c r="I29" s="19" t="s">
        <v>91</v>
      </c>
      <c r="J29" s="80">
        <f>SUM('Adjusted jurisdiction data'!J33,'Adjusted jurisdiction data'!J108,'Adjusted jurisdiction data'!J183,'Adjusted jurisdiction data'!J258,'Adjusted jurisdiction data'!J333,'Adjusted jurisdiction data'!J408,'Adjusted jurisdiction data'!J483,'Adjusted jurisdiction data'!J558)</f>
        <v>439.25599999999997</v>
      </c>
      <c r="K29" s="80">
        <f>SUM('Adjusted jurisdiction data'!K33,'Adjusted jurisdiction data'!K108,'Adjusted jurisdiction data'!K183,'Adjusted jurisdiction data'!K258,'Adjusted jurisdiction data'!K333,'Adjusted jurisdiction data'!K408,'Adjusted jurisdiction data'!K483,'Adjusted jurisdiction data'!K558)</f>
        <v>350.06</v>
      </c>
      <c r="L29" s="505">
        <f t="shared" si="1"/>
        <v>789.31600000000003</v>
      </c>
    </row>
    <row r="30" spans="1:12" ht="15.75">
      <c r="A30" s="61"/>
      <c r="B30" s="162"/>
      <c r="C30" s="49" t="s">
        <v>27</v>
      </c>
      <c r="D30" s="48" t="s">
        <v>95</v>
      </c>
      <c r="E30" s="80">
        <f>SUM('Adjusted jurisdiction data'!E34,'Adjusted jurisdiction data'!E109,'Adjusted jurisdiction data'!E184,'Adjusted jurisdiction data'!E259,'Adjusted jurisdiction data'!E334,'Adjusted jurisdiction data'!E409,'Adjusted jurisdiction data'!E484,'Adjusted jurisdiction data'!E559)</f>
        <v>43987.204279999998</v>
      </c>
      <c r="F30" s="80">
        <f>SUM('Adjusted jurisdiction data'!F34,'Adjusted jurisdiction data'!F109,'Adjusted jurisdiction data'!F184,'Adjusted jurisdiction data'!F259,'Adjusted jurisdiction data'!F334,'Adjusted jurisdiction data'!F409,'Adjusted jurisdiction data'!F484,'Adjusted jurisdiction data'!F559)</f>
        <v>47190.632300000012</v>
      </c>
      <c r="G30" s="150"/>
      <c r="H30" s="119" t="s">
        <v>363</v>
      </c>
      <c r="I30" s="19" t="s">
        <v>94</v>
      </c>
      <c r="J30" s="80">
        <f>SUM('Adjusted jurisdiction data'!J34,'Adjusted jurisdiction data'!J109,'Adjusted jurisdiction data'!J184,'Adjusted jurisdiction data'!J259,'Adjusted jurisdiction data'!J334,'Adjusted jurisdiction data'!J409,'Adjusted jurisdiction data'!J484,'Adjusted jurisdiction data'!J559)</f>
        <v>108065.11699999998</v>
      </c>
      <c r="K30" s="80">
        <f>SUM('Adjusted jurisdiction data'!K34,'Adjusted jurisdiction data'!K109,'Adjusted jurisdiction data'!K184,'Adjusted jurisdiction data'!K259,'Adjusted jurisdiction data'!K334,'Adjusted jurisdiction data'!K409,'Adjusted jurisdiction data'!K484,'Adjusted jurisdiction data'!K559)</f>
        <v>103390.08129999999</v>
      </c>
      <c r="L30" s="505">
        <f t="shared" si="1"/>
        <v>211455.19829999999</v>
      </c>
    </row>
    <row r="31" spans="1:12" ht="15.75">
      <c r="A31" s="61"/>
      <c r="B31" s="162"/>
      <c r="C31" s="49" t="s">
        <v>28</v>
      </c>
      <c r="D31" s="48" t="s">
        <v>96</v>
      </c>
      <c r="E31" s="80">
        <f>SUM('Adjusted jurisdiction data'!E35,'Adjusted jurisdiction data'!E110,'Adjusted jurisdiction data'!E185,'Adjusted jurisdiction data'!E260,'Adjusted jurisdiction data'!E335,'Adjusted jurisdiction data'!E410,'Adjusted jurisdiction data'!E485,'Adjusted jurisdiction data'!E560)</f>
        <v>2.4</v>
      </c>
      <c r="F31" s="80">
        <f>SUM('Adjusted jurisdiction data'!F35,'Adjusted jurisdiction data'!F110,'Adjusted jurisdiction data'!F185,'Adjusted jurisdiction data'!F260,'Adjusted jurisdiction data'!F335,'Adjusted jurisdiction data'!F410,'Adjusted jurisdiction data'!F485,'Adjusted jurisdiction data'!F560)</f>
        <v>3.9209999999999998</v>
      </c>
      <c r="G31" s="150"/>
      <c r="H31" s="119" t="s">
        <v>364</v>
      </c>
      <c r="I31" s="19" t="s">
        <v>87</v>
      </c>
      <c r="J31" s="80">
        <f>SUM('Adjusted jurisdiction data'!J35,'Adjusted jurisdiction data'!J110,'Adjusted jurisdiction data'!J185,'Adjusted jurisdiction data'!J260,'Adjusted jurisdiction data'!J335,'Adjusted jurisdiction data'!J410,'Adjusted jurisdiction data'!J485,'Adjusted jurisdiction data'!J560)</f>
        <v>104.29</v>
      </c>
      <c r="K31" s="80">
        <f>SUM('Adjusted jurisdiction data'!K35,'Adjusted jurisdiction data'!K110,'Adjusted jurisdiction data'!K185,'Adjusted jurisdiction data'!K260,'Adjusted jurisdiction data'!K335,'Adjusted jurisdiction data'!K410,'Adjusted jurisdiction data'!K485,'Adjusted jurisdiction data'!K560)</f>
        <v>95.368500000000012</v>
      </c>
      <c r="L31" s="505">
        <f t="shared" si="1"/>
        <v>199.6585</v>
      </c>
    </row>
    <row r="32" spans="1:12" ht="15.75">
      <c r="A32" s="61"/>
      <c r="B32" s="162"/>
      <c r="C32" s="49" t="s">
        <v>29</v>
      </c>
      <c r="D32" s="48" t="s">
        <v>97</v>
      </c>
      <c r="E32" s="80">
        <f>SUM('Adjusted jurisdiction data'!E36,'Adjusted jurisdiction data'!E111,'Adjusted jurisdiction data'!E186,'Adjusted jurisdiction data'!E261,'Adjusted jurisdiction data'!E336,'Adjusted jurisdiction data'!E411,'Adjusted jurisdiction data'!E486,'Adjusted jurisdiction data'!E561)</f>
        <v>486.411</v>
      </c>
      <c r="F32" s="80">
        <f>SUM('Adjusted jurisdiction data'!F36,'Adjusted jurisdiction data'!F111,'Adjusted jurisdiction data'!F186,'Adjusted jurisdiction data'!F261,'Adjusted jurisdiction data'!F336,'Adjusted jurisdiction data'!F411,'Adjusted jurisdiction data'!F486,'Adjusted jurisdiction data'!F561)</f>
        <v>399.16999999999996</v>
      </c>
      <c r="G32" s="150"/>
      <c r="H32" s="119" t="s">
        <v>365</v>
      </c>
      <c r="I32" s="19" t="s">
        <v>145</v>
      </c>
      <c r="J32" s="80">
        <f>SUM('Adjusted jurisdiction data'!J36,'Adjusted jurisdiction data'!J111,'Adjusted jurisdiction data'!J186,'Adjusted jurisdiction data'!J261,'Adjusted jurisdiction data'!J336,'Adjusted jurisdiction data'!J411,'Adjusted jurisdiction data'!J486,'Adjusted jurisdiction data'!J561)</f>
        <v>3.76</v>
      </c>
      <c r="K32" s="80">
        <f>SUM('Adjusted jurisdiction data'!K36,'Adjusted jurisdiction data'!K111,'Adjusted jurisdiction data'!K186,'Adjusted jurisdiction data'!K261,'Adjusted jurisdiction data'!K336,'Adjusted jurisdiction data'!K411,'Adjusted jurisdiction data'!K486,'Adjusted jurisdiction data'!K561)</f>
        <v>36.18</v>
      </c>
      <c r="L32" s="505">
        <f t="shared" si="1"/>
        <v>39.94</v>
      </c>
    </row>
    <row r="33" spans="1:12" ht="15.75">
      <c r="A33" s="61"/>
      <c r="B33" s="162"/>
      <c r="C33" s="49" t="s">
        <v>99</v>
      </c>
      <c r="D33" s="48" t="s">
        <v>98</v>
      </c>
      <c r="E33" s="80">
        <f>SUM('Adjusted jurisdiction data'!E37,'Adjusted jurisdiction data'!E112,'Adjusted jurisdiction data'!E187,'Adjusted jurisdiction data'!E262,'Adjusted jurisdiction data'!E337,'Adjusted jurisdiction data'!E412,'Adjusted jurisdiction data'!E487,'Adjusted jurisdiction data'!E562)</f>
        <v>5.4090000000000025</v>
      </c>
      <c r="F33" s="80">
        <f>SUM('Adjusted jurisdiction data'!F37,'Adjusted jurisdiction data'!F112,'Adjusted jurisdiction data'!F187,'Adjusted jurisdiction data'!F262,'Adjusted jurisdiction data'!F337,'Adjusted jurisdiction data'!F412,'Adjusted jurisdiction data'!F487,'Adjusted jurisdiction data'!F562)</f>
        <v>4.535000000000001</v>
      </c>
      <c r="G33" s="150"/>
      <c r="H33" s="119" t="s">
        <v>366</v>
      </c>
      <c r="I33" s="19" t="s">
        <v>89</v>
      </c>
      <c r="J33" s="80">
        <f>SUM('Adjusted jurisdiction data'!J37,'Adjusted jurisdiction data'!J112,'Adjusted jurisdiction data'!J187,'Adjusted jurisdiction data'!J262,'Adjusted jurisdiction data'!J337,'Adjusted jurisdiction data'!J412,'Adjusted jurisdiction data'!J487,'Adjusted jurisdiction data'!J562)</f>
        <v>10.361500000000001</v>
      </c>
      <c r="K33" s="80">
        <f>SUM('Adjusted jurisdiction data'!K37,'Adjusted jurisdiction data'!K112,'Adjusted jurisdiction data'!K187,'Adjusted jurisdiction data'!K262,'Adjusted jurisdiction data'!K337,'Adjusted jurisdiction data'!K412,'Adjusted jurisdiction data'!K487,'Adjusted jurisdiction data'!K562)</f>
        <v>20.77</v>
      </c>
      <c r="L33" s="505">
        <f t="shared" si="1"/>
        <v>31.131500000000003</v>
      </c>
    </row>
    <row r="34" spans="1:12" ht="15.75">
      <c r="A34" s="61"/>
      <c r="B34" s="162"/>
      <c r="C34" s="49" t="s">
        <v>101</v>
      </c>
      <c r="D34" s="48" t="s">
        <v>100</v>
      </c>
      <c r="E34" s="80">
        <f>SUM('Adjusted jurisdiction data'!E38,'Adjusted jurisdiction data'!E113,'Adjusted jurisdiction data'!E188,'Adjusted jurisdiction data'!E263,'Adjusted jurisdiction data'!E338,'Adjusted jurisdiction data'!E413,'Adjusted jurisdiction data'!E488,'Adjusted jurisdiction data'!E563)</f>
        <v>1.6309999999999998</v>
      </c>
      <c r="F34" s="80">
        <f>SUM('Adjusted jurisdiction data'!F38,'Adjusted jurisdiction data'!F113,'Adjusted jurisdiction data'!F188,'Adjusted jurisdiction data'!F263,'Adjusted jurisdiction data'!F338,'Adjusted jurisdiction data'!F413,'Adjusted jurisdiction data'!F488,'Adjusted jurisdiction data'!F563)</f>
        <v>6.0100000000000007</v>
      </c>
      <c r="G34" s="150"/>
      <c r="H34" s="119" t="s">
        <v>367</v>
      </c>
      <c r="I34" s="19" t="s">
        <v>141</v>
      </c>
      <c r="J34" s="80">
        <f>SUM('Adjusted jurisdiction data'!J38,'Adjusted jurisdiction data'!J113,'Adjusted jurisdiction data'!J188,'Adjusted jurisdiction data'!J263,'Adjusted jurisdiction data'!J338,'Adjusted jurisdiction data'!J413,'Adjusted jurisdiction data'!J488,'Adjusted jurisdiction data'!J563)</f>
        <v>0.91199999999999992</v>
      </c>
      <c r="K34" s="80">
        <f>SUM('Adjusted jurisdiction data'!K38,'Adjusted jurisdiction data'!K113,'Adjusted jurisdiction data'!K188,'Adjusted jurisdiction data'!K263,'Adjusted jurisdiction data'!K338,'Adjusted jurisdiction data'!K413,'Adjusted jurisdiction data'!K488,'Adjusted jurisdiction data'!K563)</f>
        <v>2.9681000000000002</v>
      </c>
      <c r="L34" s="505">
        <f t="shared" si="1"/>
        <v>3.8801000000000001</v>
      </c>
    </row>
    <row r="35" spans="1:12" ht="15.75">
      <c r="A35" s="66"/>
      <c r="B35" s="161"/>
      <c r="C35" s="49" t="s">
        <v>30</v>
      </c>
      <c r="D35" s="48" t="s">
        <v>151</v>
      </c>
      <c r="E35" s="80">
        <f>SUM('Adjusted jurisdiction data'!E39,'Adjusted jurisdiction data'!E114,'Adjusted jurisdiction data'!E189,'Adjusted jurisdiction data'!E264,'Adjusted jurisdiction data'!E339,'Adjusted jurisdiction data'!E414,'Adjusted jurisdiction data'!E489,'Adjusted jurisdiction data'!E564)</f>
        <v>469.56</v>
      </c>
      <c r="F35" s="80">
        <f>SUM('Adjusted jurisdiction data'!F39,'Adjusted jurisdiction data'!F114,'Adjusted jurisdiction data'!F189,'Adjusted jurisdiction data'!F264,'Adjusted jurisdiction data'!F339,'Adjusted jurisdiction data'!F414,'Adjusted jurisdiction data'!F489,'Adjusted jurisdiction data'!F564)</f>
        <v>470.38900000000001</v>
      </c>
      <c r="G35" s="150"/>
      <c r="H35" s="119" t="s">
        <v>368</v>
      </c>
      <c r="I35" s="19" t="s">
        <v>147</v>
      </c>
      <c r="J35" s="80">
        <f>SUM('Adjusted jurisdiction data'!J39,'Adjusted jurisdiction data'!J114,'Adjusted jurisdiction data'!J189,'Adjusted jurisdiction data'!J264,'Adjusted jurisdiction data'!J339,'Adjusted jurisdiction data'!J414,'Adjusted jurisdiction data'!J489,'Adjusted jurisdiction data'!J564)</f>
        <v>5.0000000000000001E-3</v>
      </c>
      <c r="K35" s="80">
        <f>SUM('Adjusted jurisdiction data'!K39,'Adjusted jurisdiction data'!K114,'Adjusted jurisdiction data'!K189,'Adjusted jurisdiction data'!K264,'Adjusted jurisdiction data'!K339,'Adjusted jurisdiction data'!K414,'Adjusted jurisdiction data'!K489,'Adjusted jurisdiction data'!K564)</f>
        <v>0</v>
      </c>
      <c r="L35" s="505">
        <f t="shared" si="1"/>
        <v>5.0000000000000001E-3</v>
      </c>
    </row>
    <row r="36" spans="1:12" ht="15.75">
      <c r="A36" s="59" t="s">
        <v>31</v>
      </c>
      <c r="B36" s="48" t="s">
        <v>32</v>
      </c>
      <c r="C36" s="49" t="s">
        <v>33</v>
      </c>
      <c r="D36" s="48" t="s">
        <v>102</v>
      </c>
      <c r="E36" s="80">
        <f>SUM('Adjusted jurisdiction data'!E40,'Adjusted jurisdiction data'!E115,'Adjusted jurisdiction data'!E190,'Adjusted jurisdiction data'!E265,'Adjusted jurisdiction data'!E340,'Adjusted jurisdiction data'!E415,'Adjusted jurisdiction data'!E490,'Adjusted jurisdiction data'!E565)</f>
        <v>83.872500000000002</v>
      </c>
      <c r="F36" s="80">
        <f>SUM('Adjusted jurisdiction data'!F40,'Adjusted jurisdiction data'!F115,'Adjusted jurisdiction data'!F190,'Adjusted jurisdiction data'!F265,'Adjusted jurisdiction data'!F340,'Adjusted jurisdiction data'!F415,'Adjusted jurisdiction data'!F490,'Adjusted jurisdiction data'!F565)</f>
        <v>41.067499999999995</v>
      </c>
      <c r="G36" s="150"/>
      <c r="H36" s="119" t="s">
        <v>369</v>
      </c>
      <c r="I36" s="19" t="s">
        <v>86</v>
      </c>
      <c r="J36" s="80">
        <f>SUM('Adjusted jurisdiction data'!J40,'Adjusted jurisdiction data'!J115,'Adjusted jurisdiction data'!J190,'Adjusted jurisdiction data'!J265,'Adjusted jurisdiction data'!J340,'Adjusted jurisdiction data'!J415,'Adjusted jurisdiction data'!J490,'Adjusted jurisdiction data'!J565)</f>
        <v>320.29835780333087</v>
      </c>
      <c r="K36" s="80">
        <f>SUM('Adjusted jurisdiction data'!K40,'Adjusted jurisdiction data'!K115,'Adjusted jurisdiction data'!K190,'Adjusted jurisdiction data'!K265,'Adjusted jurisdiction data'!K340,'Adjusted jurisdiction data'!K415,'Adjusted jurisdiction data'!K490,'Adjusted jurisdiction data'!K565)</f>
        <v>1871.1240538033289</v>
      </c>
      <c r="L36" s="505">
        <f t="shared" si="1"/>
        <v>2191.4224116066598</v>
      </c>
    </row>
    <row r="37" spans="1:12" ht="15.75">
      <c r="A37" s="60" t="s">
        <v>34</v>
      </c>
      <c r="B37" s="814" t="s">
        <v>152</v>
      </c>
      <c r="C37" s="49" t="s">
        <v>35</v>
      </c>
      <c r="D37" s="48" t="s">
        <v>103</v>
      </c>
      <c r="E37" s="80">
        <f>SUM('Adjusted jurisdiction data'!E41,'Adjusted jurisdiction data'!E116,'Adjusted jurisdiction data'!E191,'Adjusted jurisdiction data'!E266,'Adjusted jurisdiction data'!E341,'Adjusted jurisdiction data'!E416,'Adjusted jurisdiction data'!E491,'Adjusted jurisdiction data'!E566)</f>
        <v>21646.013352327907</v>
      </c>
      <c r="F37" s="80">
        <f>SUM('Adjusted jurisdiction data'!F41,'Adjusted jurisdiction data'!F116,'Adjusted jurisdiction data'!F191,'Adjusted jurisdiction data'!F266,'Adjusted jurisdiction data'!F341,'Adjusted jurisdiction data'!F416,'Adjusted jurisdiction data'!F491,'Adjusted jurisdiction data'!F566)</f>
        <v>22463.744732327898</v>
      </c>
      <c r="G37" s="150"/>
      <c r="H37" s="119" t="s">
        <v>370</v>
      </c>
      <c r="I37" s="19" t="s">
        <v>143</v>
      </c>
      <c r="J37" s="80">
        <f>SUM('Adjusted jurisdiction data'!J41,'Adjusted jurisdiction data'!J116,'Adjusted jurisdiction data'!J191,'Adjusted jurisdiction data'!J266,'Adjusted jurisdiction data'!J341,'Adjusted jurisdiction data'!J416,'Adjusted jurisdiction data'!J491,'Adjusted jurisdiction data'!J566)</f>
        <v>0.2</v>
      </c>
      <c r="K37" s="80">
        <f>SUM('Adjusted jurisdiction data'!K41,'Adjusted jurisdiction data'!K116,'Adjusted jurisdiction data'!K191,'Adjusted jurisdiction data'!K266,'Adjusted jurisdiction data'!K341,'Adjusted jurisdiction data'!K416,'Adjusted jurisdiction data'!K491,'Adjusted jurisdiction data'!K566)</f>
        <v>0</v>
      </c>
      <c r="L37" s="505">
        <f t="shared" si="1"/>
        <v>0.2</v>
      </c>
    </row>
    <row r="38" spans="1:12" ht="15.75">
      <c r="A38" s="66"/>
      <c r="B38" s="815"/>
      <c r="C38" s="49" t="s">
        <v>105</v>
      </c>
      <c r="D38" s="48" t="s">
        <v>104</v>
      </c>
      <c r="E38" s="80">
        <f>SUM('Adjusted jurisdiction data'!E42,'Adjusted jurisdiction data'!E117,'Adjusted jurisdiction data'!E192,'Adjusted jurisdiction data'!E267,'Adjusted jurisdiction data'!E342,'Adjusted jurisdiction data'!E417,'Adjusted jurisdiction data'!E492,'Adjusted jurisdiction data'!E567)</f>
        <v>2225.7110784333886</v>
      </c>
      <c r="F38" s="80">
        <f>SUM('Adjusted jurisdiction data'!F42,'Adjusted jurisdiction data'!F117,'Adjusted jurisdiction data'!F192,'Adjusted jurisdiction data'!F267,'Adjusted jurisdiction data'!F342,'Adjusted jurisdiction data'!F417,'Adjusted jurisdiction data'!F492,'Adjusted jurisdiction data'!F567)</f>
        <v>2566.1508104333889</v>
      </c>
      <c r="G38" s="150"/>
      <c r="H38" s="119" t="s">
        <v>371</v>
      </c>
      <c r="I38" s="19" t="s">
        <v>93</v>
      </c>
      <c r="J38" s="80">
        <f>SUM('Adjusted jurisdiction data'!J42,'Adjusted jurisdiction data'!J117,'Adjusted jurisdiction data'!J192,'Adjusted jurisdiction data'!J267,'Adjusted jurisdiction data'!J342,'Adjusted jurisdiction data'!J417,'Adjusted jurisdiction data'!J492,'Adjusted jurisdiction data'!J567)</f>
        <v>64508.845508197439</v>
      </c>
      <c r="K38" s="80">
        <f>SUM('Adjusted jurisdiction data'!K42,'Adjusted jurisdiction data'!K117,'Adjusted jurisdiction data'!K192,'Adjusted jurisdiction data'!K267,'Adjusted jurisdiction data'!K342,'Adjusted jurisdiction data'!K417,'Adjusted jurisdiction data'!K492,'Adjusted jurisdiction data'!K567)</f>
        <v>68665.247508197426</v>
      </c>
      <c r="L38" s="505">
        <f t="shared" si="1"/>
        <v>133174.09301639488</v>
      </c>
    </row>
    <row r="39" spans="1:12" ht="15.75">
      <c r="A39" s="60" t="s">
        <v>37</v>
      </c>
      <c r="B39" s="160" t="s">
        <v>153</v>
      </c>
      <c r="C39" s="49" t="s">
        <v>38</v>
      </c>
      <c r="D39" s="48" t="s">
        <v>106</v>
      </c>
      <c r="E39" s="80">
        <f>SUM('Adjusted jurisdiction data'!E43,'Adjusted jurisdiction data'!E118,'Adjusted jurisdiction data'!E193,'Adjusted jurisdiction data'!E268,'Adjusted jurisdiction data'!E343,'Adjusted jurisdiction data'!E418,'Adjusted jurisdiction data'!E493,'Adjusted jurisdiction data'!E568)</f>
        <v>871.82599999999945</v>
      </c>
      <c r="F39" s="80">
        <f>SUM('Adjusted jurisdiction data'!F43,'Adjusted jurisdiction data'!F118,'Adjusted jurisdiction data'!F193,'Adjusted jurisdiction data'!F268,'Adjusted jurisdiction data'!F343,'Adjusted jurisdiction data'!F418,'Adjusted jurisdiction data'!F493,'Adjusted jurisdiction data'!F568)</f>
        <v>591.37203</v>
      </c>
      <c r="G39" s="150"/>
      <c r="H39" s="119" t="s">
        <v>372</v>
      </c>
      <c r="I39" s="19" t="s">
        <v>85</v>
      </c>
      <c r="J39" s="80">
        <f>SUM('Adjusted jurisdiction data'!J43,'Adjusted jurisdiction data'!J118,'Adjusted jurisdiction data'!J193,'Adjusted jurisdiction data'!J268,'Adjusted jurisdiction data'!J343,'Adjusted jurisdiction data'!J418,'Adjusted jurisdiction data'!J493,'Adjusted jurisdiction data'!J568)</f>
        <v>4395.8369499999999</v>
      </c>
      <c r="K39" s="80">
        <f>SUM('Adjusted jurisdiction data'!K43,'Adjusted jurisdiction data'!K118,'Adjusted jurisdiction data'!K193,'Adjusted jurisdiction data'!K268,'Adjusted jurisdiction data'!K343,'Adjusted jurisdiction data'!K418,'Adjusted jurisdiction data'!K493,'Adjusted jurisdiction data'!K568)</f>
        <v>8771.213499999998</v>
      </c>
      <c r="L39" s="505">
        <f t="shared" si="1"/>
        <v>13167.050449999999</v>
      </c>
    </row>
    <row r="40" spans="1:12" ht="15.75">
      <c r="A40" s="61"/>
      <c r="B40" s="162"/>
      <c r="C40" s="49" t="s">
        <v>39</v>
      </c>
      <c r="D40" s="48" t="s">
        <v>107</v>
      </c>
      <c r="E40" s="80">
        <f>SUM('Adjusted jurisdiction data'!E44,'Adjusted jurisdiction data'!E119,'Adjusted jurisdiction data'!E194,'Adjusted jurisdiction data'!E269,'Adjusted jurisdiction data'!E344,'Adjusted jurisdiction data'!E419,'Adjusted jurisdiction data'!E494,'Adjusted jurisdiction data'!E569)</f>
        <v>6751.7286617481186</v>
      </c>
      <c r="F40" s="80">
        <f>SUM('Adjusted jurisdiction data'!F44,'Adjusted jurisdiction data'!F119,'Adjusted jurisdiction data'!F194,'Adjusted jurisdiction data'!F269,'Adjusted jurisdiction data'!F344,'Adjusted jurisdiction data'!F419,'Adjusted jurisdiction data'!F494,'Adjusted jurisdiction data'!F569)</f>
        <v>8090.4412827481119</v>
      </c>
      <c r="G40" s="150"/>
      <c r="H40" s="119" t="s">
        <v>373</v>
      </c>
      <c r="I40" s="19" t="s">
        <v>374</v>
      </c>
      <c r="J40" s="80">
        <f>SUM('Adjusted jurisdiction data'!J44,'Adjusted jurisdiction data'!J119,'Adjusted jurisdiction data'!J194,'Adjusted jurisdiction data'!J269,'Adjusted jurisdiction data'!J344,'Adjusted jurisdiction data'!J419,'Adjusted jurisdiction data'!J494,'Adjusted jurisdiction data'!J569)</f>
        <v>67.42049999999999</v>
      </c>
      <c r="K40" s="80">
        <f>SUM('Adjusted jurisdiction data'!K44,'Adjusted jurisdiction data'!K119,'Adjusted jurisdiction data'!K194,'Adjusted jurisdiction data'!K269,'Adjusted jurisdiction data'!K344,'Adjusted jurisdiction data'!K419,'Adjusted jurisdiction data'!K494,'Adjusted jurisdiction data'!K569)</f>
        <v>40.245000000000005</v>
      </c>
      <c r="L40" s="505">
        <f t="shared" si="1"/>
        <v>107.66549999999999</v>
      </c>
    </row>
    <row r="41" spans="1:12" ht="15.75">
      <c r="A41" s="61"/>
      <c r="B41" s="162"/>
      <c r="C41" s="49" t="s">
        <v>40</v>
      </c>
      <c r="D41" s="48" t="s">
        <v>108</v>
      </c>
      <c r="E41" s="80">
        <f>SUM('Adjusted jurisdiction data'!E45,'Adjusted jurisdiction data'!E120,'Adjusted jurisdiction data'!E195,'Adjusted jurisdiction data'!E270,'Adjusted jurisdiction data'!E345,'Adjusted jurisdiction data'!E420,'Adjusted jurisdiction data'!E495,'Adjusted jurisdiction data'!E570)</f>
        <v>661.1919414019959</v>
      </c>
      <c r="F41" s="80">
        <f>SUM('Adjusted jurisdiction data'!F45,'Adjusted jurisdiction data'!F120,'Adjusted jurisdiction data'!F195,'Adjusted jurisdiction data'!F270,'Adjusted jurisdiction data'!F345,'Adjusted jurisdiction data'!F420,'Adjusted jurisdiction data'!F495,'Adjusted jurisdiction data'!F570)</f>
        <v>601.75174140199601</v>
      </c>
      <c r="G41" s="150"/>
      <c r="H41" s="119" t="s">
        <v>375</v>
      </c>
      <c r="I41" s="19" t="s">
        <v>82</v>
      </c>
      <c r="J41" s="80">
        <f>SUM('Adjusted jurisdiction data'!J45,'Adjusted jurisdiction data'!J120,'Adjusted jurisdiction data'!J195,'Adjusted jurisdiction data'!J270,'Adjusted jurisdiction data'!J345,'Adjusted jurisdiction data'!J420,'Adjusted jurisdiction data'!J495,'Adjusted jurisdiction data'!J570)</f>
        <v>18460.202881403606</v>
      </c>
      <c r="K41" s="80">
        <f>SUM('Adjusted jurisdiction data'!K45,'Adjusted jurisdiction data'!K120,'Adjusted jurisdiction data'!K195,'Adjusted jurisdiction data'!K270,'Adjusted jurisdiction data'!K345,'Adjusted jurisdiction data'!K420,'Adjusted jurisdiction data'!K495,'Adjusted jurisdiction data'!K570)</f>
        <v>22003.840970403595</v>
      </c>
      <c r="L41" s="505">
        <f t="shared" si="1"/>
        <v>40464.043851807204</v>
      </c>
    </row>
    <row r="42" spans="1:12" ht="15.75">
      <c r="A42" s="66"/>
      <c r="B42" s="161"/>
      <c r="C42" s="49" t="s">
        <v>41</v>
      </c>
      <c r="D42" s="48" t="s">
        <v>109</v>
      </c>
      <c r="E42" s="80">
        <f>SUM('Adjusted jurisdiction data'!E46,'Adjusted jurisdiction data'!E121,'Adjusted jurisdiction data'!E196,'Adjusted jurisdiction data'!E271,'Adjusted jurisdiction data'!E346,'Adjusted jurisdiction data'!E421,'Adjusted jurisdiction data'!E496,'Adjusted jurisdiction data'!E571)</f>
        <v>6782.2415000000001</v>
      </c>
      <c r="F42" s="80">
        <f>SUM('Adjusted jurisdiction data'!F46,'Adjusted jurisdiction data'!F121,'Adjusted jurisdiction data'!F196,'Adjusted jurisdiction data'!F271,'Adjusted jurisdiction data'!F346,'Adjusted jurisdiction data'!F421,'Adjusted jurisdiction data'!F496,'Adjusted jurisdiction data'!F571)</f>
        <v>6948.2160000000003</v>
      </c>
      <c r="G42" s="150"/>
      <c r="H42" s="119" t="s">
        <v>376</v>
      </c>
      <c r="I42" s="19" t="s">
        <v>83</v>
      </c>
      <c r="J42" s="80">
        <f>SUM('Adjusted jurisdiction data'!J46,'Adjusted jurisdiction data'!J121,'Adjusted jurisdiction data'!J196,'Adjusted jurisdiction data'!J271,'Adjusted jurisdiction data'!J346,'Adjusted jurisdiction data'!J421,'Adjusted jurisdiction data'!J496,'Adjusted jurisdiction data'!J571)</f>
        <v>172608.00239298755</v>
      </c>
      <c r="K42" s="80">
        <f>SUM('Adjusted jurisdiction data'!K46,'Adjusted jurisdiction data'!K121,'Adjusted jurisdiction data'!K196,'Adjusted jurisdiction data'!K271,'Adjusted jurisdiction data'!K346,'Adjusted jurisdiction data'!K421,'Adjusted jurisdiction data'!K496,'Adjusted jurisdiction data'!K571)</f>
        <v>178402.55515298751</v>
      </c>
      <c r="L42" s="505">
        <f t="shared" si="1"/>
        <v>351010.55754597508</v>
      </c>
    </row>
    <row r="43" spans="1:12" ht="15.75">
      <c r="A43" s="60" t="s">
        <v>42</v>
      </c>
      <c r="B43" s="160" t="s">
        <v>154</v>
      </c>
      <c r="C43" s="49" t="s">
        <v>43</v>
      </c>
      <c r="D43" s="48" t="s">
        <v>110</v>
      </c>
      <c r="E43" s="80">
        <f>SUM('Adjusted jurisdiction data'!E47,'Adjusted jurisdiction data'!E122,'Adjusted jurisdiction data'!E197,'Adjusted jurisdiction data'!E272,'Adjusted jurisdiction data'!E347,'Adjusted jurisdiction data'!E422,'Adjusted jurisdiction data'!E497,'Adjusted jurisdiction data'!E572)</f>
        <v>1273.7643</v>
      </c>
      <c r="F43" s="80">
        <f>SUM('Adjusted jurisdiction data'!F47,'Adjusted jurisdiction data'!F122,'Adjusted jurisdiction data'!F197,'Adjusted jurisdiction data'!F272,'Adjusted jurisdiction data'!F347,'Adjusted jurisdiction data'!F422,'Adjusted jurisdiction data'!F497,'Adjusted jurisdiction data'!F572)</f>
        <v>1466.5863859999997</v>
      </c>
      <c r="G43" s="150"/>
      <c r="H43" s="119" t="s">
        <v>377</v>
      </c>
      <c r="I43" s="19" t="s">
        <v>378</v>
      </c>
      <c r="J43" s="80">
        <f>SUM('Adjusted jurisdiction data'!J47,'Adjusted jurisdiction data'!J122,'Adjusted jurisdiction data'!J197,'Adjusted jurisdiction data'!J272,'Adjusted jurisdiction data'!J347,'Adjusted jurisdiction data'!J422,'Adjusted jurisdiction data'!J497,'Adjusted jurisdiction data'!J572)</f>
        <v>394564.92002365465</v>
      </c>
      <c r="K43" s="80">
        <f>SUM('Adjusted jurisdiction data'!K47,'Adjusted jurisdiction data'!K122,'Adjusted jurisdiction data'!K197,'Adjusted jurisdiction data'!K272,'Adjusted jurisdiction data'!K347,'Adjusted jurisdiction data'!K422,'Adjusted jurisdiction data'!K497,'Adjusted jurisdiction data'!K572)</f>
        <v>396126.94557170849</v>
      </c>
      <c r="L43" s="505">
        <f t="shared" si="1"/>
        <v>790691.86559536308</v>
      </c>
    </row>
    <row r="44" spans="1:12" ht="15.75">
      <c r="A44" s="61"/>
      <c r="B44" s="162"/>
      <c r="C44" s="49" t="s">
        <v>44</v>
      </c>
      <c r="D44" s="48" t="s">
        <v>111</v>
      </c>
      <c r="E44" s="80">
        <f>SUM('Adjusted jurisdiction data'!E48,'Adjusted jurisdiction data'!E123,'Adjusted jurisdiction data'!E198,'Adjusted jurisdiction data'!E273,'Adjusted jurisdiction data'!E348,'Adjusted jurisdiction data'!E423,'Adjusted jurisdiction data'!E498,'Adjusted jurisdiction data'!E573)</f>
        <v>296.88249999999999</v>
      </c>
      <c r="F44" s="80">
        <f>SUM('Adjusted jurisdiction data'!F48,'Adjusted jurisdiction data'!F123,'Adjusted jurisdiction data'!F198,'Adjusted jurisdiction data'!F273,'Adjusted jurisdiction data'!F348,'Adjusted jurisdiction data'!F423,'Adjusted jurisdiction data'!F498,'Adjusted jurisdiction data'!F573)</f>
        <v>378.72964999999999</v>
      </c>
      <c r="G44" s="150"/>
      <c r="H44" s="119" t="s">
        <v>379</v>
      </c>
      <c r="I44" s="19" t="s">
        <v>176</v>
      </c>
      <c r="J44" s="80">
        <f>SUM('Adjusted jurisdiction data'!J48,'Adjusted jurisdiction data'!J123,'Adjusted jurisdiction data'!J198,'Adjusted jurisdiction data'!J273,'Adjusted jurisdiction data'!J348,'Adjusted jurisdiction data'!J423,'Adjusted jurisdiction data'!J498,'Adjusted jurisdiction data'!J573)</f>
        <v>296.88249999999999</v>
      </c>
      <c r="K44" s="80">
        <f>SUM('Adjusted jurisdiction data'!K48,'Adjusted jurisdiction data'!K123,'Adjusted jurisdiction data'!K198,'Adjusted jurisdiction data'!K273,'Adjusted jurisdiction data'!K348,'Adjusted jurisdiction data'!K423,'Adjusted jurisdiction data'!K498,'Adjusted jurisdiction data'!K573)</f>
        <v>378.72964999999999</v>
      </c>
      <c r="L44" s="505">
        <f t="shared" si="1"/>
        <v>675.61214999999993</v>
      </c>
    </row>
    <row r="45" spans="1:12" ht="15.75">
      <c r="A45" s="66"/>
      <c r="B45" s="161"/>
      <c r="C45" s="49" t="s">
        <v>45</v>
      </c>
      <c r="D45" s="48" t="s">
        <v>155</v>
      </c>
      <c r="E45" s="80">
        <f>SUM('Adjusted jurisdiction data'!E49,'Adjusted jurisdiction data'!E124,'Adjusted jurisdiction data'!E199,'Adjusted jurisdiction data'!E274,'Adjusted jurisdiction data'!E349,'Adjusted jurisdiction data'!E424,'Adjusted jurisdiction data'!E499,'Adjusted jurisdiction data'!E574)</f>
        <v>279.30399999999997</v>
      </c>
      <c r="F45" s="80">
        <f>SUM('Adjusted jurisdiction data'!F49,'Adjusted jurisdiction data'!F124,'Adjusted jurisdiction data'!F199,'Adjusted jurisdiction data'!F274,'Adjusted jurisdiction data'!F349,'Adjusted jurisdiction data'!F424,'Adjusted jurisdiction data'!F499,'Adjusted jurisdiction data'!F574)</f>
        <v>290.27999999999997</v>
      </c>
      <c r="G45" s="150"/>
      <c r="H45" s="119" t="s">
        <v>380</v>
      </c>
      <c r="I45" s="19" t="s">
        <v>381</v>
      </c>
      <c r="J45" s="80">
        <f>SUM('Adjusted jurisdiction data'!J49,'Adjusted jurisdiction data'!J124,'Adjusted jurisdiction data'!J199,'Adjusted jurisdiction data'!J274,'Adjusted jurisdiction data'!J349,'Adjusted jurisdiction data'!J424,'Adjusted jurisdiction data'!J499,'Adjusted jurisdiction data'!J574)</f>
        <v>6.5</v>
      </c>
      <c r="K45" s="80">
        <f>SUM('Adjusted jurisdiction data'!K49,'Adjusted jurisdiction data'!K124,'Adjusted jurisdiction data'!K199,'Adjusted jurisdiction data'!K274,'Adjusted jurisdiction data'!K349,'Adjusted jurisdiction data'!K424,'Adjusted jurisdiction data'!K499,'Adjusted jurisdiction data'!K574)</f>
        <v>4.5</v>
      </c>
      <c r="L45" s="505">
        <f t="shared" si="1"/>
        <v>11</v>
      </c>
    </row>
    <row r="46" spans="1:12" ht="15.75">
      <c r="A46" s="60" t="s">
        <v>46</v>
      </c>
      <c r="B46" s="160" t="s">
        <v>156</v>
      </c>
      <c r="C46" s="49" t="s">
        <v>47</v>
      </c>
      <c r="D46" s="48" t="s">
        <v>112</v>
      </c>
      <c r="E46" s="80">
        <f>SUM('Adjusted jurisdiction data'!E50,'Adjusted jurisdiction data'!E125,'Adjusted jurisdiction data'!E200,'Adjusted jurisdiction data'!E275,'Adjusted jurisdiction data'!E350,'Adjusted jurisdiction data'!E425,'Adjusted jurisdiction data'!E500,'Adjusted jurisdiction data'!E575)</f>
        <v>122400.93139987125</v>
      </c>
      <c r="F46" s="80">
        <f>SUM('Adjusted jurisdiction data'!F50,'Adjusted jurisdiction data'!F125,'Adjusted jurisdiction data'!F200,'Adjusted jurisdiction data'!F275,'Adjusted jurisdiction data'!F350,'Adjusted jurisdiction data'!F425,'Adjusted jurisdiction data'!F500,'Adjusted jurisdiction data'!F575)</f>
        <v>118229.42432287108</v>
      </c>
      <c r="G46" s="150"/>
      <c r="H46" s="119" t="s">
        <v>382</v>
      </c>
      <c r="I46" s="19" t="s">
        <v>383</v>
      </c>
      <c r="J46" s="80">
        <f>SUM('Adjusted jurisdiction data'!J50,'Adjusted jurisdiction data'!J125,'Adjusted jurisdiction data'!J200,'Adjusted jurisdiction data'!J275,'Adjusted jurisdiction data'!J350,'Adjusted jurisdiction data'!J425,'Adjusted jurisdiction data'!J500,'Adjusted jurisdiction data'!J575)</f>
        <v>582.22</v>
      </c>
      <c r="K46" s="80">
        <f>SUM('Adjusted jurisdiction data'!K50,'Adjusted jurisdiction data'!K125,'Adjusted jurisdiction data'!K200,'Adjusted jurisdiction data'!K275,'Adjusted jurisdiction data'!K350,'Adjusted jurisdiction data'!K425,'Adjusted jurisdiction data'!K500,'Adjusted jurisdiction data'!K575)</f>
        <v>527.91999999999996</v>
      </c>
      <c r="L46" s="505">
        <f t="shared" si="1"/>
        <v>1110.1399999999999</v>
      </c>
    </row>
    <row r="47" spans="1:12" ht="15.75">
      <c r="A47" s="61"/>
      <c r="B47" s="162"/>
      <c r="C47" s="49" t="s">
        <v>48</v>
      </c>
      <c r="D47" s="48" t="s">
        <v>157</v>
      </c>
      <c r="E47" s="80">
        <f>SUM('Adjusted jurisdiction data'!E51,'Adjusted jurisdiction data'!E126,'Adjusted jurisdiction data'!E201,'Adjusted jurisdiction data'!E276,'Adjusted jurisdiction data'!E351,'Adjusted jurisdiction data'!E426,'Adjusted jurisdiction data'!E501,'Adjusted jurisdiction data'!E576)</f>
        <v>212459.67910308443</v>
      </c>
      <c r="F47" s="80">
        <f>SUM('Adjusted jurisdiction data'!F51,'Adjusted jurisdiction data'!F126,'Adjusted jurisdiction data'!F201,'Adjusted jurisdiction data'!F276,'Adjusted jurisdiction data'!F351,'Adjusted jurisdiction data'!F426,'Adjusted jurisdiction data'!F501,'Adjusted jurisdiction data'!F576)</f>
        <v>204063.48317108391</v>
      </c>
      <c r="G47" s="150"/>
      <c r="H47" s="119" t="s">
        <v>384</v>
      </c>
      <c r="I47" s="19" t="s">
        <v>106</v>
      </c>
      <c r="J47" s="80">
        <f>SUM('Adjusted jurisdiction data'!J51,'Adjusted jurisdiction data'!J126,'Adjusted jurisdiction data'!J201,'Adjusted jurisdiction data'!J276,'Adjusted jurisdiction data'!J351,'Adjusted jurisdiction data'!J426,'Adjusted jurisdiction data'!J501,'Adjusted jurisdiction data'!J576)</f>
        <v>871.82599999999945</v>
      </c>
      <c r="K47" s="80">
        <f>SUM('Adjusted jurisdiction data'!K51,'Adjusted jurisdiction data'!K126,'Adjusted jurisdiction data'!K201,'Adjusted jurisdiction data'!K276,'Adjusted jurisdiction data'!K351,'Adjusted jurisdiction data'!K426,'Adjusted jurisdiction data'!K501,'Adjusted jurisdiction data'!K576)</f>
        <v>591.37203</v>
      </c>
      <c r="L47" s="505">
        <f t="shared" si="1"/>
        <v>1463.1980299999996</v>
      </c>
    </row>
    <row r="48" spans="1:12" ht="15.75">
      <c r="A48" s="66"/>
      <c r="B48" s="161"/>
      <c r="C48" s="49" t="s">
        <v>49</v>
      </c>
      <c r="D48" s="48" t="s">
        <v>158</v>
      </c>
      <c r="E48" s="80">
        <f>SUM('Adjusted jurisdiction data'!E52,'Adjusted jurisdiction data'!E127,'Adjusted jurisdiction data'!E202,'Adjusted jurisdiction data'!E277,'Adjusted jurisdiction data'!E352,'Adjusted jurisdiction data'!E427,'Adjusted jurisdiction data'!E502,'Adjusted jurisdiction data'!E577)</f>
        <v>10126.244700743533</v>
      </c>
      <c r="F48" s="80">
        <f>SUM('Adjusted jurisdiction data'!F52,'Adjusted jurisdiction data'!F127,'Adjusted jurisdiction data'!F202,'Adjusted jurisdiction data'!F277,'Adjusted jurisdiction data'!F352,'Adjusted jurisdiction data'!F427,'Adjusted jurisdiction data'!F502,'Adjusted jurisdiction data'!F577)</f>
        <v>17472.861700743531</v>
      </c>
      <c r="G48" s="150"/>
      <c r="H48" s="119" t="s">
        <v>385</v>
      </c>
      <c r="I48" s="19" t="s">
        <v>108</v>
      </c>
      <c r="J48" s="80">
        <f>SUM('Adjusted jurisdiction data'!J52,'Adjusted jurisdiction data'!J127,'Adjusted jurisdiction data'!J202,'Adjusted jurisdiction data'!J277,'Adjusted jurisdiction data'!J352,'Adjusted jurisdiction data'!J427,'Adjusted jurisdiction data'!J502,'Adjusted jurisdiction data'!J577)</f>
        <v>661.1919414019959</v>
      </c>
      <c r="K48" s="80">
        <f>SUM('Adjusted jurisdiction data'!K52,'Adjusted jurisdiction data'!K127,'Adjusted jurisdiction data'!K202,'Adjusted jurisdiction data'!K277,'Adjusted jurisdiction data'!K352,'Adjusted jurisdiction data'!K427,'Adjusted jurisdiction data'!K502,'Adjusted jurisdiction data'!K577)</f>
        <v>601.75174140199601</v>
      </c>
      <c r="L48" s="505">
        <f t="shared" si="1"/>
        <v>1262.943682803992</v>
      </c>
    </row>
    <row r="49" spans="1:12" ht="15.75">
      <c r="A49" s="60" t="s">
        <v>50</v>
      </c>
      <c r="B49" s="160" t="s">
        <v>159</v>
      </c>
      <c r="C49" s="49" t="s">
        <v>51</v>
      </c>
      <c r="D49" s="48" t="s">
        <v>113</v>
      </c>
      <c r="E49" s="80">
        <f>SUM('Adjusted jurisdiction data'!E53,'Adjusted jurisdiction data'!E128,'Adjusted jurisdiction data'!E203,'Adjusted jurisdiction data'!E278,'Adjusted jurisdiction data'!E353,'Adjusted jurisdiction data'!E428,'Adjusted jurisdiction data'!E503,'Adjusted jurisdiction data'!E578)</f>
        <v>169758.29613536753</v>
      </c>
      <c r="F49" s="80">
        <f>SUM('Adjusted jurisdiction data'!F53,'Adjusted jurisdiction data'!F128,'Adjusted jurisdiction data'!F203,'Adjusted jurisdiction data'!F278,'Adjusted jurisdiction data'!F353,'Adjusted jurisdiction data'!F428,'Adjusted jurisdiction data'!F503,'Adjusted jurisdiction data'!F578)</f>
        <v>172042.4101029954</v>
      </c>
      <c r="G49" s="150"/>
      <c r="H49" s="119" t="s">
        <v>386</v>
      </c>
      <c r="I49" s="19" t="s">
        <v>107</v>
      </c>
      <c r="J49" s="80">
        <f>SUM('Adjusted jurisdiction data'!J53,'Adjusted jurisdiction data'!J128,'Adjusted jurisdiction data'!J203,'Adjusted jurisdiction data'!J278,'Adjusted jurisdiction data'!J353,'Adjusted jurisdiction data'!J428,'Adjusted jurisdiction data'!J503,'Adjusted jurisdiction data'!J578)</f>
        <v>6751.7286617481186</v>
      </c>
      <c r="K49" s="80">
        <f>SUM('Adjusted jurisdiction data'!K53,'Adjusted jurisdiction data'!K128,'Adjusted jurisdiction data'!K203,'Adjusted jurisdiction data'!K278,'Adjusted jurisdiction data'!K353,'Adjusted jurisdiction data'!K428,'Adjusted jurisdiction data'!K503,'Adjusted jurisdiction data'!K578)</f>
        <v>8090.4412827481119</v>
      </c>
      <c r="L49" s="505">
        <f t="shared" si="1"/>
        <v>14842.169944496231</v>
      </c>
    </row>
    <row r="50" spans="1:12" ht="15.75">
      <c r="A50" s="61"/>
      <c r="B50" s="162"/>
      <c r="C50" s="49" t="s">
        <v>115</v>
      </c>
      <c r="D50" s="48" t="s">
        <v>114</v>
      </c>
      <c r="E50" s="80">
        <f>SUM('Adjusted jurisdiction data'!E54,'Adjusted jurisdiction data'!E129,'Adjusted jurisdiction data'!E204,'Adjusted jurisdiction data'!E279,'Adjusted jurisdiction data'!E354,'Adjusted jurisdiction data'!E429,'Adjusted jurisdiction data'!E504,'Adjusted jurisdiction data'!E579)</f>
        <v>275974.77424916392</v>
      </c>
      <c r="F50" s="80">
        <f>SUM('Adjusted jurisdiction data'!F54,'Adjusted jurisdiction data'!F129,'Adjusted jurisdiction data'!F204,'Adjusted jurisdiction data'!F279,'Adjusted jurisdiction data'!F354,'Adjusted jurisdiction data'!F429,'Adjusted jurisdiction data'!F504,'Adjusted jurisdiction data'!F579)</f>
        <v>280648.03442215826</v>
      </c>
      <c r="G50" s="150"/>
      <c r="H50" s="119" t="s">
        <v>387</v>
      </c>
      <c r="I50" s="19" t="s">
        <v>388</v>
      </c>
      <c r="J50" s="80">
        <f>SUM('Adjusted jurisdiction data'!J54,'Adjusted jurisdiction data'!J129,'Adjusted jurisdiction data'!J204,'Adjusted jurisdiction data'!J279,'Adjusted jurisdiction data'!J354,'Adjusted jurisdiction data'!J429,'Adjusted jurisdiction data'!J504,'Adjusted jurisdiction data'!J579)</f>
        <v>0</v>
      </c>
      <c r="K50" s="80">
        <f>SUM('Adjusted jurisdiction data'!K54,'Adjusted jurisdiction data'!K129,'Adjusted jurisdiction data'!K204,'Adjusted jurisdiction data'!K279,'Adjusted jurisdiction data'!K354,'Adjusted jurisdiction data'!K429,'Adjusted jurisdiction data'!K504,'Adjusted jurisdiction data'!K579)</f>
        <v>0</v>
      </c>
      <c r="L50" s="505">
        <f t="shared" si="1"/>
        <v>0</v>
      </c>
    </row>
    <row r="51" spans="1:12" ht="15.75">
      <c r="A51" s="61"/>
      <c r="B51" s="162"/>
      <c r="C51" s="49" t="s">
        <v>52</v>
      </c>
      <c r="D51" s="48" t="s">
        <v>116</v>
      </c>
      <c r="E51" s="80">
        <f>SUM('Adjusted jurisdiction data'!E55,'Adjusted jurisdiction data'!E130,'Adjusted jurisdiction data'!E205,'Adjusted jurisdiction data'!E280,'Adjusted jurisdiction data'!E355,'Adjusted jurisdiction data'!E430,'Adjusted jurisdiction data'!E505,'Adjusted jurisdiction data'!E580)</f>
        <v>3248.84</v>
      </c>
      <c r="F51" s="80">
        <f>SUM('Adjusted jurisdiction data'!F55,'Adjusted jurisdiction data'!F130,'Adjusted jurisdiction data'!F205,'Adjusted jurisdiction data'!F280,'Adjusted jurisdiction data'!F355,'Adjusted jurisdiction data'!F430,'Adjusted jurisdiction data'!F505,'Adjusted jurisdiction data'!F580)</f>
        <v>3292</v>
      </c>
      <c r="G51" s="150"/>
      <c r="H51" s="119" t="s">
        <v>389</v>
      </c>
      <c r="I51" s="19" t="s">
        <v>390</v>
      </c>
      <c r="J51" s="80">
        <f>SUM('Adjusted jurisdiction data'!J55,'Adjusted jurisdiction data'!J130,'Adjusted jurisdiction data'!J205,'Adjusted jurisdiction data'!J280,'Adjusted jurisdiction data'!J355,'Adjusted jurisdiction data'!J430,'Adjusted jurisdiction data'!J505,'Adjusted jurisdiction data'!J580)</f>
        <v>0</v>
      </c>
      <c r="K51" s="80">
        <f>SUM('Adjusted jurisdiction data'!K55,'Adjusted jurisdiction data'!K130,'Adjusted jurisdiction data'!K205,'Adjusted jurisdiction data'!K280,'Adjusted jurisdiction data'!K355,'Adjusted jurisdiction data'!K430,'Adjusted jurisdiction data'!K505,'Adjusted jurisdiction data'!K580)</f>
        <v>0</v>
      </c>
      <c r="L51" s="505">
        <f t="shared" si="1"/>
        <v>0</v>
      </c>
    </row>
    <row r="52" spans="1:12" ht="15.75">
      <c r="A52" s="66"/>
      <c r="B52" s="161"/>
      <c r="C52" s="49" t="s">
        <v>118</v>
      </c>
      <c r="D52" s="48" t="s">
        <v>117</v>
      </c>
      <c r="E52" s="80">
        <f>SUM('Adjusted jurisdiction data'!E56,'Adjusted jurisdiction data'!E131,'Adjusted jurisdiction data'!E206,'Adjusted jurisdiction data'!E281,'Adjusted jurisdiction data'!E356,'Adjusted jurisdiction data'!E431,'Adjusted jurisdiction data'!E506,'Adjusted jurisdiction data'!E581)</f>
        <v>171.34</v>
      </c>
      <c r="F52" s="80">
        <f>SUM('Adjusted jurisdiction data'!F56,'Adjusted jurisdiction data'!F131,'Adjusted jurisdiction data'!F206,'Adjusted jurisdiction data'!F281,'Adjusted jurisdiction data'!F356,'Adjusted jurisdiction data'!F431,'Adjusted jurisdiction data'!F506,'Adjusted jurisdiction data'!F581)</f>
        <v>214.5</v>
      </c>
      <c r="G52" s="150"/>
      <c r="H52" s="119" t="s">
        <v>391</v>
      </c>
      <c r="I52" s="19" t="s">
        <v>392</v>
      </c>
      <c r="J52" s="80">
        <f>SUM('Adjusted jurisdiction data'!J56,'Adjusted jurisdiction data'!J131,'Adjusted jurisdiction data'!J206,'Adjusted jurisdiction data'!J281,'Adjusted jurisdiction data'!J356,'Adjusted jurisdiction data'!J431,'Adjusted jurisdiction data'!J506,'Adjusted jurisdiction data'!J581)</f>
        <v>9.5190000000000001</v>
      </c>
      <c r="K52" s="80">
        <f>SUM('Adjusted jurisdiction data'!K56,'Adjusted jurisdiction data'!K131,'Adjusted jurisdiction data'!K206,'Adjusted jurisdiction data'!K281,'Adjusted jurisdiction data'!K356,'Adjusted jurisdiction data'!K431,'Adjusted jurisdiction data'!K506,'Adjusted jurisdiction data'!K581)</f>
        <v>10.345000000000001</v>
      </c>
      <c r="L52" s="505">
        <f t="shared" si="1"/>
        <v>19.864000000000001</v>
      </c>
    </row>
    <row r="53" spans="1:12" ht="25.5">
      <c r="A53" s="60" t="s">
        <v>53</v>
      </c>
      <c r="B53" s="160" t="s">
        <v>54</v>
      </c>
      <c r="C53" s="49" t="s">
        <v>55</v>
      </c>
      <c r="D53" s="48" t="s">
        <v>160</v>
      </c>
      <c r="E53" s="80">
        <f>SUM('Adjusted jurisdiction data'!E57,'Adjusted jurisdiction data'!E132,'Adjusted jurisdiction data'!E207,'Adjusted jurisdiction data'!E282,'Adjusted jurisdiction data'!E357,'Adjusted jurisdiction data'!E432,'Adjusted jurisdiction data'!E507,'Adjusted jurisdiction data'!E582)</f>
        <v>2003.0089762254918</v>
      </c>
      <c r="F53" s="80">
        <f>SUM('Adjusted jurisdiction data'!F57,'Adjusted jurisdiction data'!F132,'Adjusted jurisdiction data'!F207,'Adjusted jurisdiction data'!F282,'Adjusted jurisdiction data'!F357,'Adjusted jurisdiction data'!F432,'Adjusted jurisdiction data'!F507,'Adjusted jurisdiction data'!F582)</f>
        <v>2139.1027762254917</v>
      </c>
      <c r="G53" s="150"/>
      <c r="H53" s="62"/>
      <c r="I53" s="63" t="s">
        <v>405</v>
      </c>
      <c r="J53" s="65"/>
      <c r="K53" s="65"/>
      <c r="L53" s="65"/>
    </row>
    <row r="54" spans="1:12" ht="15.75">
      <c r="A54" s="61"/>
      <c r="B54" s="162"/>
      <c r="C54" s="49" t="s">
        <v>56</v>
      </c>
      <c r="D54" s="48" t="s">
        <v>161</v>
      </c>
      <c r="E54" s="80">
        <f>SUM('Adjusted jurisdiction data'!E58,'Adjusted jurisdiction data'!E133,'Adjusted jurisdiction data'!E208,'Adjusted jurisdiction data'!E283,'Adjusted jurisdiction data'!E358,'Adjusted jurisdiction data'!E433,'Adjusted jurisdiction data'!E508,'Adjusted jurisdiction data'!E583)</f>
        <v>582.22</v>
      </c>
      <c r="F54" s="80">
        <f>SUM('Adjusted jurisdiction data'!F58,'Adjusted jurisdiction data'!F133,'Adjusted jurisdiction data'!F208,'Adjusted jurisdiction data'!F283,'Adjusted jurisdiction data'!F358,'Adjusted jurisdiction data'!F433,'Adjusted jurisdiction data'!F508,'Adjusted jurisdiction data'!F583)</f>
        <v>527.91999999999996</v>
      </c>
      <c r="G54" s="150"/>
      <c r="H54" s="119" t="s">
        <v>393</v>
      </c>
      <c r="I54" s="19" t="s">
        <v>394</v>
      </c>
      <c r="J54" s="80">
        <f>SUM('Adjusted jurisdiction data'!J58,'Adjusted jurisdiction data'!J133,'Adjusted jurisdiction data'!J208,'Adjusted jurisdiction data'!J283,'Adjusted jurisdiction data'!J358,'Adjusted jurisdiction data'!J433,'Adjusted jurisdiction data'!J508,'Adjusted jurisdiction data'!J583)</f>
        <v>6672103.9197714971</v>
      </c>
      <c r="K54" s="80">
        <f>SUM('Adjusted jurisdiction data'!K58,'Adjusted jurisdiction data'!K133,'Adjusted jurisdiction data'!K208,'Adjusted jurisdiction data'!K283,'Adjusted jurisdiction data'!K358,'Adjusted jurisdiction data'!K433,'Adjusted jurisdiction data'!K508,'Adjusted jurisdiction data'!K583)</f>
        <v>6728955.5876345327</v>
      </c>
      <c r="L54" s="505">
        <f t="shared" si="1"/>
        <v>13401059.50740603</v>
      </c>
    </row>
    <row r="55" spans="1:12" ht="15.75">
      <c r="A55" s="61"/>
      <c r="B55" s="162"/>
      <c r="C55" s="49" t="s">
        <v>57</v>
      </c>
      <c r="D55" s="48" t="s">
        <v>162</v>
      </c>
      <c r="E55" s="80">
        <f>SUM('Adjusted jurisdiction data'!E59,'Adjusted jurisdiction data'!E134,'Adjusted jurisdiction data'!E209,'Adjusted jurisdiction data'!E284,'Adjusted jurisdiction data'!E359,'Adjusted jurisdiction data'!E434,'Adjusted jurisdiction data'!E509,'Adjusted jurisdiction data'!E584)</f>
        <v>9.5190000000000001</v>
      </c>
      <c r="F55" s="80">
        <f>SUM('Adjusted jurisdiction data'!F59,'Adjusted jurisdiction data'!F134,'Adjusted jurisdiction data'!F209,'Adjusted jurisdiction data'!F284,'Adjusted jurisdiction data'!F359,'Adjusted jurisdiction data'!F434,'Adjusted jurisdiction data'!F509,'Adjusted jurisdiction data'!F584)</f>
        <v>10.345000000000001</v>
      </c>
      <c r="G55" s="150"/>
      <c r="H55" s="119" t="s">
        <v>395</v>
      </c>
      <c r="I55" s="19" t="s">
        <v>396</v>
      </c>
      <c r="J55" s="80">
        <f>SUM('Adjusted jurisdiction data'!J59,'Adjusted jurisdiction data'!J134,'Adjusted jurisdiction data'!J209,'Adjusted jurisdiction data'!J284,'Adjusted jurisdiction data'!J359,'Adjusted jurisdiction data'!J434,'Adjusted jurisdiction data'!J509,'Adjusted jurisdiction data'!J584)</f>
        <v>0</v>
      </c>
      <c r="K55" s="80">
        <f>SUM('Adjusted jurisdiction data'!K59,'Adjusted jurisdiction data'!K134,'Adjusted jurisdiction data'!K209,'Adjusted jurisdiction data'!K284,'Adjusted jurisdiction data'!K359,'Adjusted jurisdiction data'!K434,'Adjusted jurisdiction data'!K509,'Adjusted jurisdiction data'!K584)</f>
        <v>0</v>
      </c>
      <c r="L55" s="505">
        <f t="shared" si="1"/>
        <v>0</v>
      </c>
    </row>
    <row r="56" spans="1:12">
      <c r="A56" s="61"/>
      <c r="B56" s="162"/>
      <c r="C56" s="49" t="s">
        <v>120</v>
      </c>
      <c r="D56" s="48" t="s">
        <v>119</v>
      </c>
      <c r="E56" s="80">
        <f>SUM('Adjusted jurisdiction data'!E60,'Adjusted jurisdiction data'!E135,'Adjusted jurisdiction data'!E210,'Adjusted jurisdiction data'!E285,'Adjusted jurisdiction data'!E360,'Adjusted jurisdiction data'!E435,'Adjusted jurisdiction data'!E510,'Adjusted jurisdiction data'!E585)</f>
        <v>0</v>
      </c>
      <c r="F56" s="80">
        <f>SUM('Adjusted jurisdiction data'!F60,'Adjusted jurisdiction data'!F135,'Adjusted jurisdiction data'!F210,'Adjusted jurisdiction data'!F285,'Adjusted jurisdiction data'!F360,'Adjusted jurisdiction data'!F435,'Adjusted jurisdiction data'!F510,'Adjusted jurisdiction data'!F585)</f>
        <v>0</v>
      </c>
      <c r="G56" s="150"/>
      <c r="H56" s="72"/>
      <c r="I56" s="73" t="s">
        <v>408</v>
      </c>
      <c r="J56" s="65"/>
      <c r="K56" s="65"/>
      <c r="L56" s="75"/>
    </row>
    <row r="57" spans="1:12" ht="15.75">
      <c r="A57" s="61"/>
      <c r="B57" s="162"/>
      <c r="C57" s="49" t="s">
        <v>122</v>
      </c>
      <c r="D57" s="48" t="s">
        <v>121</v>
      </c>
      <c r="E57" s="80">
        <f>SUM('Adjusted jurisdiction data'!E61,'Adjusted jurisdiction data'!E136,'Adjusted jurisdiction data'!E211,'Adjusted jurisdiction data'!E286,'Adjusted jurisdiction data'!E361,'Adjusted jurisdiction data'!E436,'Adjusted jurisdiction data'!E511,'Adjusted jurisdiction data'!E586)</f>
        <v>0</v>
      </c>
      <c r="F57" s="80">
        <f>SUM('Adjusted jurisdiction data'!F61,'Adjusted jurisdiction data'!F136,'Adjusted jurisdiction data'!F211,'Adjusted jurisdiction data'!F286,'Adjusted jurisdiction data'!F361,'Adjusted jurisdiction data'!F436,'Adjusted jurisdiction data'!F511,'Adjusted jurisdiction data'!F586)</f>
        <v>0</v>
      </c>
      <c r="G57" s="150"/>
      <c r="H57" s="58">
        <v>1</v>
      </c>
      <c r="I57" s="76" t="s">
        <v>397</v>
      </c>
      <c r="J57" s="80">
        <f>SUM('Adjusted jurisdiction data'!J61,'Adjusted jurisdiction data'!J136,'Adjusted jurisdiction data'!J211,'Adjusted jurisdiction data'!J286,'Adjusted jurisdiction data'!J361,'Adjusted jurisdiction data'!J436,'Adjusted jurisdiction data'!J511,'Adjusted jurisdiction data'!J586)</f>
        <v>570.26899999999989</v>
      </c>
      <c r="K57" s="80">
        <f>SUM('Adjusted jurisdiction data'!K61,'Adjusted jurisdiction data'!K136,'Adjusted jurisdiction data'!K211,'Adjusted jurisdiction data'!K286,'Adjusted jurisdiction data'!K361,'Adjusted jurisdiction data'!K436,'Adjusted jurisdiction data'!K511,'Adjusted jurisdiction data'!K586)</f>
        <v>605.37800000000004</v>
      </c>
      <c r="L57" s="505">
        <f t="shared" si="1"/>
        <v>1175.6469999999999</v>
      </c>
    </row>
    <row r="58" spans="1:12" ht="15.75">
      <c r="A58" s="61"/>
      <c r="B58" s="162"/>
      <c r="C58" s="49" t="s">
        <v>124</v>
      </c>
      <c r="D58" s="48" t="s">
        <v>123</v>
      </c>
      <c r="E58" s="80">
        <f>SUM('Adjusted jurisdiction data'!E62,'Adjusted jurisdiction data'!E137,'Adjusted jurisdiction data'!E212,'Adjusted jurisdiction data'!E287,'Adjusted jurisdiction data'!E362,'Adjusted jurisdiction data'!E437,'Adjusted jurisdiction data'!E512,'Adjusted jurisdiction data'!E587)</f>
        <v>6.5</v>
      </c>
      <c r="F58" s="80">
        <f>SUM('Adjusted jurisdiction data'!F62,'Adjusted jurisdiction data'!F137,'Adjusted jurisdiction data'!F212,'Adjusted jurisdiction data'!F287,'Adjusted jurisdiction data'!F362,'Adjusted jurisdiction data'!F437,'Adjusted jurisdiction data'!F512,'Adjusted jurisdiction data'!F587)</f>
        <v>4.5</v>
      </c>
      <c r="G58" s="150"/>
      <c r="H58" s="58">
        <v>2</v>
      </c>
      <c r="I58" s="76" t="s">
        <v>398</v>
      </c>
      <c r="J58" s="80">
        <f>SUM('Adjusted jurisdiction data'!J62,'Adjusted jurisdiction data'!J137,'Adjusted jurisdiction data'!J212,'Adjusted jurisdiction data'!J287,'Adjusted jurisdiction data'!J362,'Adjusted jurisdiction data'!J437,'Adjusted jurisdiction data'!J512,'Adjusted jurisdiction data'!J587)</f>
        <v>44945.57527999999</v>
      </c>
      <c r="K58" s="80">
        <f>SUM('Adjusted jurisdiction data'!K62,'Adjusted jurisdiction data'!K137,'Adjusted jurisdiction data'!K212,'Adjusted jurisdiction data'!K287,'Adjusted jurisdiction data'!K362,'Adjusted jurisdiction data'!K437,'Adjusted jurisdiction data'!K512,'Adjusted jurisdiction data'!K587)</f>
        <v>48064.112300000008</v>
      </c>
      <c r="L58" s="505">
        <f t="shared" si="1"/>
        <v>93009.687579999998</v>
      </c>
    </row>
    <row r="59" spans="1:12" ht="15.75">
      <c r="A59" s="61"/>
      <c r="B59" s="162"/>
      <c r="C59" s="49" t="s">
        <v>58</v>
      </c>
      <c r="D59" s="48" t="s">
        <v>136</v>
      </c>
      <c r="E59" s="80">
        <f>SUM('Adjusted jurisdiction data'!E63,'Adjusted jurisdiction data'!E138,'Adjusted jurisdiction data'!E213,'Adjusted jurisdiction data'!E288,'Adjusted jurisdiction data'!E363,'Adjusted jurisdiction data'!E438,'Adjusted jurisdiction data'!E513,'Adjusted jurisdiction data'!E588)</f>
        <v>83.578000000000003</v>
      </c>
      <c r="F59" s="80">
        <f>SUM('Adjusted jurisdiction data'!F63,'Adjusted jurisdiction data'!F138,'Adjusted jurisdiction data'!F213,'Adjusted jurisdiction data'!F288,'Adjusted jurisdiction data'!F363,'Adjusted jurisdiction data'!F438,'Adjusted jurisdiction data'!F513,'Adjusted jurisdiction data'!F588)</f>
        <v>47.3645</v>
      </c>
      <c r="G59" s="150"/>
      <c r="H59" s="58">
        <v>3</v>
      </c>
      <c r="I59" s="76" t="s">
        <v>323</v>
      </c>
      <c r="J59" s="80">
        <f>SUM('Adjusted jurisdiction data'!J63,'Adjusted jurisdiction data'!J138,'Adjusted jurisdiction data'!J213,'Adjusted jurisdiction data'!J288,'Adjusted jurisdiction data'!J363,'Adjusted jurisdiction data'!J438,'Adjusted jurisdiction data'!J513,'Adjusted jurisdiction data'!J588)</f>
        <v>6445.8969586036219</v>
      </c>
      <c r="K59" s="80">
        <f>SUM('Adjusted jurisdiction data'!K63,'Adjusted jurisdiction data'!K138,'Adjusted jurisdiction data'!K213,'Adjusted jurisdiction data'!K288,'Adjusted jurisdiction data'!K363,'Adjusted jurisdiction data'!K438,'Adjusted jurisdiction data'!K513,'Adjusted jurisdiction data'!K588)</f>
        <v>7826.57759309015</v>
      </c>
      <c r="L59" s="505">
        <f t="shared" si="1"/>
        <v>14272.474551693773</v>
      </c>
    </row>
    <row r="60" spans="1:12" ht="15.75">
      <c r="A60" s="61"/>
      <c r="B60" s="162"/>
      <c r="C60" s="49" t="s">
        <v>59</v>
      </c>
      <c r="D60" s="48" t="s">
        <v>125</v>
      </c>
      <c r="E60" s="80">
        <f>SUM('Adjusted jurisdiction data'!E64,'Adjusted jurisdiction data'!E139,'Adjusted jurisdiction data'!E214,'Adjusted jurisdiction data'!E289,'Adjusted jurisdiction data'!E364,'Adjusted jurisdiction data'!E439,'Adjusted jurisdiction data'!E514,'Adjusted jurisdiction data'!E589)</f>
        <v>1673.2830250652755</v>
      </c>
      <c r="F60" s="80">
        <f>SUM('Adjusted jurisdiction data'!F64,'Adjusted jurisdiction data'!F139,'Adjusted jurisdiction data'!F214,'Adjusted jurisdiction data'!F289,'Adjusted jurisdiction data'!F364,'Adjusted jurisdiction data'!F439,'Adjusted jurisdiction data'!F514,'Adjusted jurisdiction data'!F589)</f>
        <v>1696.0307995518035</v>
      </c>
      <c r="G60" s="150"/>
      <c r="H60" s="58">
        <v>4</v>
      </c>
      <c r="I60" s="76" t="s">
        <v>159</v>
      </c>
      <c r="J60" s="80">
        <f>SUM('Adjusted jurisdiction data'!J64,'Adjusted jurisdiction data'!J139,'Adjusted jurisdiction data'!J214,'Adjusted jurisdiction data'!J289,'Adjusted jurisdiction data'!J364,'Adjusted jurisdiction data'!J439,'Adjusted jurisdiction data'!J514,'Adjusted jurisdiction data'!J589)</f>
        <v>449153.25038453151</v>
      </c>
      <c r="K60" s="80">
        <f>SUM('Adjusted jurisdiction data'!K64,'Adjusted jurisdiction data'!K139,'Adjusted jurisdiction data'!K214,'Adjusted jurisdiction data'!K289,'Adjusted jurisdiction data'!K364,'Adjusted jurisdiction data'!K439,'Adjusted jurisdiction data'!K514,'Adjusted jurisdiction data'!K589)</f>
        <v>456196.94452515367</v>
      </c>
      <c r="L60" s="505">
        <f t="shared" si="1"/>
        <v>905350.19490968517</v>
      </c>
    </row>
    <row r="61" spans="1:12" ht="25.5">
      <c r="A61" s="61"/>
      <c r="B61" s="162"/>
      <c r="C61" s="49" t="s">
        <v>60</v>
      </c>
      <c r="D61" s="48" t="s">
        <v>163</v>
      </c>
      <c r="E61" s="80">
        <f>SUM('Adjusted jurisdiction data'!E65,'Adjusted jurisdiction data'!E140,'Adjusted jurisdiction data'!E215,'Adjusted jurisdiction data'!E290,'Adjusted jurisdiction data'!E365,'Adjusted jurisdiction data'!E440,'Adjusted jurisdiction data'!E515,'Adjusted jurisdiction data'!E590)</f>
        <v>4675.9059335383463</v>
      </c>
      <c r="F61" s="80">
        <f>SUM('Adjusted jurisdiction data'!F65,'Adjusted jurisdiction data'!F140,'Adjusted jurisdiction data'!F215,'Adjusted jurisdiction data'!F290,'Adjusted jurisdiction data'!F365,'Adjusted jurisdiction data'!F440,'Adjusted jurisdiction data'!F515,'Adjusted jurisdiction data'!F590)</f>
        <v>6056.1800435383466</v>
      </c>
      <c r="G61" s="150"/>
      <c r="H61" s="58">
        <v>5</v>
      </c>
      <c r="I61" s="48" t="s">
        <v>399</v>
      </c>
      <c r="J61" s="80">
        <f>SUM('Adjusted jurisdiction data'!J65,'Adjusted jurisdiction data'!J140,'Adjusted jurisdiction data'!J215,'Adjusted jurisdiction data'!J290,'Adjusted jurisdiction data'!J365,'Adjusted jurisdiction data'!J440,'Adjusted jurisdiction data'!J515,'Adjusted jurisdiction data'!J590)</f>
        <v>19706.674308923579</v>
      </c>
      <c r="K61" s="80">
        <f>SUM('Adjusted jurisdiction data'!K65,'Adjusted jurisdiction data'!K140,'Adjusted jurisdiction data'!K215,'Adjusted jurisdiction data'!K290,'Adjusted jurisdiction data'!K365,'Adjusted jurisdiction data'!K440,'Adjusted jurisdiction data'!K515,'Adjusted jurisdiction data'!K590)</f>
        <v>21695.608737923572</v>
      </c>
      <c r="L61" s="505">
        <f t="shared" si="1"/>
        <v>41402.283046847151</v>
      </c>
    </row>
    <row r="62" spans="1:12" ht="15.75">
      <c r="A62" s="66"/>
      <c r="B62" s="161"/>
      <c r="C62" s="49" t="s">
        <v>61</v>
      </c>
      <c r="D62" s="48" t="s">
        <v>126</v>
      </c>
      <c r="E62" s="80">
        <f>SUM('Adjusted jurisdiction data'!E66,'Adjusted jurisdiction data'!E141,'Adjusted jurisdiction data'!E216,'Adjusted jurisdiction data'!E291,'Adjusted jurisdiction data'!E366,'Adjusted jurisdiction data'!E441,'Adjusted jurisdiction data'!E516,'Adjusted jurisdiction data'!E591)</f>
        <v>13.129999999999999</v>
      </c>
      <c r="F62" s="80">
        <f>SUM('Adjusted jurisdiction data'!F66,'Adjusted jurisdiction data'!F141,'Adjusted jurisdiction data'!F216,'Adjusted jurisdiction data'!F291,'Adjusted jurisdiction data'!F366,'Adjusted jurisdiction data'!F441,'Adjusted jurisdiction data'!F516,'Adjusted jurisdiction data'!F591)</f>
        <v>27.002249999999997</v>
      </c>
      <c r="G62" s="150"/>
      <c r="H62" s="58">
        <v>6</v>
      </c>
      <c r="I62" s="248" t="s">
        <v>468</v>
      </c>
      <c r="J62" s="80">
        <f>SUM('Adjusted jurisdiction data'!J66,'Adjusted jurisdiction data'!J141,'Adjusted jurisdiction data'!J216,'Adjusted jurisdiction data'!J291,'Adjusted jurisdiction data'!J366,'Adjusted jurisdiction data'!J441,'Adjusted jurisdiction data'!J516,'Adjusted jurisdiction data'!J591)</f>
        <v>705697.55616506957</v>
      </c>
      <c r="K62" s="80">
        <f>SUM('Adjusted jurisdiction data'!K66,'Adjusted jurisdiction data'!K141,'Adjusted jurisdiction data'!K216,'Adjusted jurisdiction data'!K291,'Adjusted jurisdiction data'!K366,'Adjusted jurisdiction data'!K441,'Adjusted jurisdiction data'!K516,'Adjusted jurisdiction data'!K591)</f>
        <v>732174.63856064575</v>
      </c>
      <c r="L62" s="505">
        <f t="shared" si="1"/>
        <v>1437872.1947257153</v>
      </c>
    </row>
    <row r="63" spans="1:12" ht="15.75">
      <c r="A63" s="60" t="s">
        <v>62</v>
      </c>
      <c r="B63" s="160" t="s">
        <v>164</v>
      </c>
      <c r="C63" s="49" t="s">
        <v>63</v>
      </c>
      <c r="D63" s="48" t="s">
        <v>165</v>
      </c>
      <c r="E63" s="80">
        <f>SUM('Adjusted jurisdiction data'!E67,'Adjusted jurisdiction data'!E142,'Adjusted jurisdiction data'!E217,'Adjusted jurisdiction data'!E292,'Adjusted jurisdiction data'!E367,'Adjusted jurisdiction data'!E442,'Adjusted jurisdiction data'!E517,'Adjusted jurisdiction data'!E592)</f>
        <v>19706.674308923579</v>
      </c>
      <c r="F63" s="80">
        <f>SUM('Adjusted jurisdiction data'!F67,'Adjusted jurisdiction data'!F142,'Adjusted jurisdiction data'!F217,'Adjusted jurisdiction data'!F292,'Adjusted jurisdiction data'!F367,'Adjusted jurisdiction data'!F442,'Adjusted jurisdiction data'!F517,'Adjusted jurisdiction data'!F592)</f>
        <v>21695.608737923572</v>
      </c>
      <c r="G63" s="150"/>
      <c r="H63" s="58">
        <v>7</v>
      </c>
      <c r="I63" s="248" t="s">
        <v>469</v>
      </c>
      <c r="J63" s="80">
        <f>SUM('Adjusted jurisdiction data'!J67,'Adjusted jurisdiction data'!J142,'Adjusted jurisdiction data'!J217,'Adjusted jurisdiction data'!J292,'Adjusted jurisdiction data'!J367,'Adjusted jurisdiction data'!J442,'Adjusted jurisdiction data'!J517,'Adjusted jurisdiction data'!J592)</f>
        <v>9601.2909999999993</v>
      </c>
      <c r="K63" s="80">
        <f>SUM('Adjusted jurisdiction data'!K67,'Adjusted jurisdiction data'!K142,'Adjusted jurisdiction data'!K217,'Adjusted jurisdiction data'!K292,'Adjusted jurisdiction data'!K367,'Adjusted jurisdiction data'!K442,'Adjusted jurisdiction data'!K517,'Adjusted jurisdiction data'!K592)</f>
        <v>10157.218999999999</v>
      </c>
      <c r="L63" s="505">
        <f t="shared" si="1"/>
        <v>19758.509999999998</v>
      </c>
    </row>
    <row r="64" spans="1:12" ht="15.75">
      <c r="A64" s="61"/>
      <c r="B64" s="162"/>
      <c r="C64" s="49" t="s">
        <v>64</v>
      </c>
      <c r="D64" s="48" t="s">
        <v>127</v>
      </c>
      <c r="E64" s="80">
        <f>SUM('Adjusted jurisdiction data'!E68,'Adjusted jurisdiction data'!E143,'Adjusted jurisdiction data'!E218,'Adjusted jurisdiction data'!E293,'Adjusted jurisdiction data'!E368,'Adjusted jurisdiction data'!E443,'Adjusted jurisdiction data'!E518,'Adjusted jurisdiction data'!E593)</f>
        <v>705697.55616506957</v>
      </c>
      <c r="F64" s="80">
        <f>SUM('Adjusted jurisdiction data'!F68,'Adjusted jurisdiction data'!F143,'Adjusted jurisdiction data'!F218,'Adjusted jurisdiction data'!F293,'Adjusted jurisdiction data'!F368,'Adjusted jurisdiction data'!F443,'Adjusted jurisdiction data'!F518,'Adjusted jurisdiction data'!F593)</f>
        <v>732174.63856064575</v>
      </c>
      <c r="G64" s="150"/>
      <c r="H64" s="58">
        <v>8</v>
      </c>
      <c r="I64" s="76" t="s">
        <v>133</v>
      </c>
      <c r="J64" s="80">
        <f>SUM('Adjusted jurisdiction data'!J68,'Adjusted jurisdiction data'!J143,'Adjusted jurisdiction data'!J218,'Adjusted jurisdiction data'!J293,'Adjusted jurisdiction data'!J368,'Adjusted jurisdiction data'!J443,'Adjusted jurisdiction data'!J518,'Adjusted jurisdiction data'!J593)</f>
        <v>203013.52069785047</v>
      </c>
      <c r="K64" s="80">
        <f>SUM('Adjusted jurisdiction data'!K68,'Adjusted jurisdiction data'!K143,'Adjusted jurisdiction data'!K218,'Adjusted jurisdiction data'!K293,'Adjusted jurisdiction data'!K368,'Adjusted jurisdiction data'!K443,'Adjusted jurisdiction data'!K518,'Adjusted jurisdiction data'!K593)</f>
        <v>232219.09675499203</v>
      </c>
      <c r="L64" s="505">
        <f t="shared" si="1"/>
        <v>435232.61745284253</v>
      </c>
    </row>
    <row r="65" spans="1:8">
      <c r="A65" s="61"/>
      <c r="B65" s="162"/>
      <c r="C65" s="49" t="s">
        <v>65</v>
      </c>
      <c r="D65" s="48" t="s">
        <v>166</v>
      </c>
      <c r="E65" s="80">
        <f>SUM('Adjusted jurisdiction data'!E69,'Adjusted jurisdiction data'!E144,'Adjusted jurisdiction data'!E219,'Adjusted jurisdiction data'!E294,'Adjusted jurisdiction data'!E369,'Adjusted jurisdiction data'!E444,'Adjusted jurisdiction data'!E519,'Adjusted jurisdiction data'!E594)</f>
        <v>1002.975</v>
      </c>
      <c r="F65" s="80">
        <f>SUM('Adjusted jurisdiction data'!F69,'Adjusted jurisdiction data'!F144,'Adjusted jurisdiction data'!F219,'Adjusted jurisdiction data'!F294,'Adjusted jurisdiction data'!F369,'Adjusted jurisdiction data'!F444,'Adjusted jurisdiction data'!F519,'Adjusted jurisdiction data'!F594)</f>
        <v>719.98500000000001</v>
      </c>
      <c r="G65" s="151"/>
      <c r="H65" s="156"/>
    </row>
    <row r="66" spans="1:8">
      <c r="A66" s="61"/>
      <c r="B66" s="162"/>
      <c r="C66" s="49" t="s">
        <v>66</v>
      </c>
      <c r="D66" s="48" t="s">
        <v>173</v>
      </c>
      <c r="E66" s="80">
        <f>SUM('Adjusted jurisdiction data'!E70,'Adjusted jurisdiction data'!E145,'Adjusted jurisdiction data'!E220,'Adjusted jurisdiction data'!E295,'Adjusted jurisdiction data'!E370,'Adjusted jurisdiction data'!E445,'Adjusted jurisdiction data'!E520,'Adjusted jurisdiction data'!E595)</f>
        <v>2430.0129999999995</v>
      </c>
      <c r="F66" s="80">
        <f>SUM('Adjusted jurisdiction data'!F70,'Adjusted jurisdiction data'!F145,'Adjusted jurisdiction data'!F220,'Adjusted jurisdiction data'!F295,'Adjusted jurisdiction data'!F370,'Adjusted jurisdiction data'!F445,'Adjusted jurisdiction data'!F520,'Adjusted jurisdiction data'!F595)</f>
        <v>2570.9549999999999</v>
      </c>
      <c r="G66" s="151"/>
      <c r="H66" s="77"/>
    </row>
    <row r="67" spans="1:8">
      <c r="A67" s="61"/>
      <c r="B67" s="162"/>
      <c r="C67" s="49" t="s">
        <v>67</v>
      </c>
      <c r="D67" s="48" t="s">
        <v>174</v>
      </c>
      <c r="E67" s="80">
        <f>SUM('Adjusted jurisdiction data'!E71,'Adjusted jurisdiction data'!E146,'Adjusted jurisdiction data'!E221,'Adjusted jurisdiction data'!E296,'Adjusted jurisdiction data'!E371,'Adjusted jurisdiction data'!E446,'Adjusted jurisdiction data'!E521,'Adjusted jurisdiction data'!E596)</f>
        <v>35541.549000000014</v>
      </c>
      <c r="F67" s="80">
        <f>SUM('Adjusted jurisdiction data'!F71,'Adjusted jurisdiction data'!F146,'Adjusted jurisdiction data'!F221,'Adjusted jurisdiction data'!F296,'Adjusted jurisdiction data'!F371,'Adjusted jurisdiction data'!F446,'Adjusted jurisdiction data'!F521,'Adjusted jurisdiction data'!F596)</f>
        <v>27359.842000000004</v>
      </c>
      <c r="G67" s="151"/>
      <c r="H67" s="77"/>
    </row>
    <row r="68" spans="1:8">
      <c r="A68" s="61"/>
      <c r="B68" s="162"/>
      <c r="C68" s="49" t="s">
        <v>68</v>
      </c>
      <c r="D68" s="48" t="s">
        <v>175</v>
      </c>
      <c r="E68" s="80">
        <f>SUM('Adjusted jurisdiction data'!E72,'Adjusted jurisdiction data'!E147,'Adjusted jurisdiction data'!E222,'Adjusted jurisdiction data'!E297,'Adjusted jurisdiction data'!E372,'Adjusted jurisdiction data'!E447,'Adjusted jurisdiction data'!E522,'Adjusted jurisdiction data'!E597)</f>
        <v>8598.3160000000007</v>
      </c>
      <c r="F68" s="80">
        <f>SUM('Adjusted jurisdiction data'!F72,'Adjusted jurisdiction data'!F147,'Adjusted jurisdiction data'!F222,'Adjusted jurisdiction data'!F297,'Adjusted jurisdiction data'!F372,'Adjusted jurisdiction data'!F447,'Adjusted jurisdiction data'!F522,'Adjusted jurisdiction data'!F597)</f>
        <v>9437.2340000000004</v>
      </c>
      <c r="G68" s="151"/>
      <c r="H68" s="77"/>
    </row>
    <row r="69" spans="1:8">
      <c r="A69" s="61"/>
      <c r="B69" s="162"/>
      <c r="C69" s="49" t="s">
        <v>128</v>
      </c>
      <c r="D69" s="48" t="s">
        <v>167</v>
      </c>
      <c r="E69" s="80">
        <f>SUM('Adjusted jurisdiction data'!E73,'Adjusted jurisdiction data'!E148,'Adjusted jurisdiction data'!E223,'Adjusted jurisdiction data'!E298,'Adjusted jurisdiction data'!E373,'Adjusted jurisdiction data'!E448,'Adjusted jurisdiction data'!E523,'Adjusted jurisdiction data'!E598)</f>
        <v>750557.85845258343</v>
      </c>
      <c r="F69" s="80">
        <f>SUM('Adjusted jurisdiction data'!F73,'Adjusted jurisdiction data'!F148,'Adjusted jurisdiction data'!F223,'Adjusted jurisdiction data'!F298,'Adjusted jurisdiction data'!F373,'Adjusted jurisdiction data'!F448,'Adjusted jurisdiction data'!F523,'Adjusted jurisdiction data'!F598)</f>
        <v>1011736.1356875835</v>
      </c>
      <c r="G69" s="151"/>
      <c r="H69" s="77"/>
    </row>
    <row r="70" spans="1:8">
      <c r="A70" s="61"/>
      <c r="B70" s="162"/>
      <c r="C70" s="49" t="s">
        <v>69</v>
      </c>
      <c r="D70" s="48" t="s">
        <v>129</v>
      </c>
      <c r="E70" s="80">
        <f>SUM('Adjusted jurisdiction data'!E74,'Adjusted jurisdiction data'!E149,'Adjusted jurisdiction data'!E224,'Adjusted jurisdiction data'!E299,'Adjusted jurisdiction data'!E374,'Adjusted jurisdiction data'!E449,'Adjusted jurisdiction data'!E524,'Adjusted jurisdiction data'!E599)</f>
        <v>394564.92002365465</v>
      </c>
      <c r="F70" s="80">
        <f>SUM('Adjusted jurisdiction data'!F74,'Adjusted jurisdiction data'!F149,'Adjusted jurisdiction data'!F224,'Adjusted jurisdiction data'!F299,'Adjusted jurisdiction data'!F374,'Adjusted jurisdiction data'!F449,'Adjusted jurisdiction data'!F524,'Adjusted jurisdiction data'!F599)</f>
        <v>396126.94557170849</v>
      </c>
      <c r="G70" s="151"/>
      <c r="H70" s="77"/>
    </row>
    <row r="71" spans="1:8">
      <c r="A71" s="66"/>
      <c r="B71" s="161"/>
      <c r="C71" s="49" t="s">
        <v>70</v>
      </c>
      <c r="D71" s="48" t="s">
        <v>168</v>
      </c>
      <c r="E71" s="80">
        <f>SUM('Adjusted jurisdiction data'!E75,'Adjusted jurisdiction data'!E150,'Adjusted jurisdiction data'!E225,'Adjusted jurisdiction data'!E300,'Adjusted jurisdiction data'!E375,'Adjusted jurisdiction data'!E450,'Adjusted jurisdiction data'!E525,'Adjusted jurisdiction data'!E600)</f>
        <v>190.67</v>
      </c>
      <c r="F71" s="80">
        <f>SUM('Adjusted jurisdiction data'!F75,'Adjusted jurisdiction data'!F150,'Adjusted jurisdiction data'!F225,'Adjusted jurisdiction data'!F300,'Adjusted jurisdiction data'!F375,'Adjusted jurisdiction data'!F450,'Adjusted jurisdiction data'!F525,'Adjusted jurisdiction data'!F600)</f>
        <v>223.51</v>
      </c>
      <c r="G71" s="151"/>
      <c r="H71" s="77"/>
    </row>
    <row r="72" spans="1:8">
      <c r="A72" s="60" t="s">
        <v>71</v>
      </c>
      <c r="B72" s="160" t="s">
        <v>169</v>
      </c>
      <c r="C72" s="49" t="s">
        <v>72</v>
      </c>
      <c r="D72" s="48" t="s">
        <v>170</v>
      </c>
      <c r="E72" s="80">
        <f>SUM('Adjusted jurisdiction data'!E76,'Adjusted jurisdiction data'!E151,'Adjusted jurisdiction data'!E226,'Adjusted jurisdiction data'!E301,'Adjusted jurisdiction data'!E376,'Adjusted jurisdiction data'!E451,'Adjusted jurisdiction data'!E526,'Adjusted jurisdiction data'!E601)</f>
        <v>36214.479951507827</v>
      </c>
      <c r="F72" s="80">
        <f>SUM('Adjusted jurisdiction data'!F76,'Adjusted jurisdiction data'!F151,'Adjusted jurisdiction data'!F226,'Adjusted jurisdiction data'!F301,'Adjusted jurisdiction data'!F376,'Adjusted jurisdiction data'!F451,'Adjusted jurisdiction data'!F526,'Adjusted jurisdiction data'!F601)</f>
        <v>35999.572789275211</v>
      </c>
      <c r="G72" s="151"/>
      <c r="H72" s="77"/>
    </row>
    <row r="73" spans="1:8">
      <c r="A73" s="61"/>
      <c r="B73" s="162"/>
      <c r="C73" s="49" t="s">
        <v>73</v>
      </c>
      <c r="D73" s="48" t="s">
        <v>130</v>
      </c>
      <c r="E73" s="80">
        <f>SUM('Adjusted jurisdiction data'!E77,'Adjusted jurisdiction data'!E152,'Adjusted jurisdiction data'!E227,'Adjusted jurisdiction data'!E302,'Adjusted jurisdiction data'!E377,'Adjusted jurisdiction data'!E452,'Adjusted jurisdiction data'!E527,'Adjusted jurisdiction data'!E602)</f>
        <v>2908.2514020488752</v>
      </c>
      <c r="F73" s="80">
        <f>SUM('Adjusted jurisdiction data'!F77,'Adjusted jurisdiction data'!F152,'Adjusted jurisdiction data'!F227,'Adjusted jurisdiction data'!F302,'Adjusted jurisdiction data'!F377,'Adjusted jurisdiction data'!F452,'Adjusted jurisdiction data'!F527,'Adjusted jurisdiction data'!F602)</f>
        <v>2518.0591988980545</v>
      </c>
      <c r="G73" s="151"/>
      <c r="H73" s="77"/>
    </row>
    <row r="74" spans="1:8">
      <c r="A74" s="66"/>
      <c r="B74" s="161"/>
      <c r="C74" s="49" t="s">
        <v>74</v>
      </c>
      <c r="D74" s="48" t="s">
        <v>131</v>
      </c>
      <c r="E74" s="80">
        <f>SUM('Adjusted jurisdiction data'!E78,'Adjusted jurisdiction data'!E153,'Adjusted jurisdiction data'!E228,'Adjusted jurisdiction data'!E303,'Adjusted jurisdiction data'!E378,'Adjusted jurisdiction data'!E453,'Adjusted jurisdiction data'!E528,'Adjusted jurisdiction data'!E603)</f>
        <v>628.18180000000007</v>
      </c>
      <c r="F74" s="80">
        <f>SUM('Adjusted jurisdiction data'!F78,'Adjusted jurisdiction data'!F153,'Adjusted jurisdiction data'!F228,'Adjusted jurisdiction data'!F303,'Adjusted jurisdiction data'!F378,'Adjusted jurisdiction data'!F453,'Adjusted jurisdiction data'!F528,'Adjusted jurisdiction data'!F603)</f>
        <v>535.16496000000006</v>
      </c>
      <c r="G74" s="151"/>
      <c r="H74" s="77"/>
    </row>
    <row r="75" spans="1:8" ht="38.25">
      <c r="A75" s="60" t="s">
        <v>75</v>
      </c>
      <c r="B75" s="160" t="s">
        <v>76</v>
      </c>
      <c r="C75" s="49" t="s">
        <v>77</v>
      </c>
      <c r="D75" s="48" t="s">
        <v>171</v>
      </c>
      <c r="E75" s="80">
        <f>SUM('Adjusted jurisdiction data'!E79,'Adjusted jurisdiction data'!E154,'Adjusted jurisdiction data'!E229,'Adjusted jurisdiction data'!E304,'Adjusted jurisdiction data'!E379,'Adjusted jurisdiction data'!E454,'Adjusted jurisdiction data'!E529,'Adjusted jurisdiction data'!E604)</f>
        <v>2936.4594436561001</v>
      </c>
      <c r="F75" s="80">
        <f>SUM('Adjusted jurisdiction data'!F79,'Adjusted jurisdiction data'!F154,'Adjusted jurisdiction data'!F229,'Adjusted jurisdiction data'!F304,'Adjusted jurisdiction data'!F379,'Adjusted jurisdiction data'!F454,'Adjusted jurisdiction data'!F529,'Adjusted jurisdiction data'!F604)</f>
        <v>2970.8494056561008</v>
      </c>
      <c r="G75" s="151"/>
      <c r="H75" s="77"/>
    </row>
    <row r="76" spans="1:8">
      <c r="A76" s="61"/>
      <c r="B76" s="162"/>
      <c r="C76" s="49" t="s">
        <v>78</v>
      </c>
      <c r="D76" s="48" t="s">
        <v>132</v>
      </c>
      <c r="E76" s="80">
        <f>SUM('Adjusted jurisdiction data'!E80,'Adjusted jurisdiction data'!E155,'Adjusted jurisdiction data'!E230,'Adjusted jurisdiction data'!E305,'Adjusted jurisdiction data'!E380,'Adjusted jurisdiction data'!E455,'Adjusted jurisdiction data'!E530,'Adjusted jurisdiction data'!E605)</f>
        <v>452.62504999999993</v>
      </c>
      <c r="F76" s="80">
        <f>SUM('Adjusted jurisdiction data'!F80,'Adjusted jurisdiction data'!F155,'Adjusted jurisdiction data'!F230,'Adjusted jurisdiction data'!F305,'Adjusted jurisdiction data'!F380,'Adjusted jurisdiction data'!F455,'Adjusted jurisdiction data'!F530,'Adjusted jurisdiction data'!F605)</f>
        <v>373.28799999999995</v>
      </c>
      <c r="G76" s="151"/>
      <c r="H76" s="77"/>
    </row>
    <row r="77" spans="1:8">
      <c r="A77" s="61"/>
      <c r="B77" s="162"/>
      <c r="C77" s="49" t="s">
        <v>134</v>
      </c>
      <c r="D77" s="48" t="s">
        <v>133</v>
      </c>
      <c r="E77" s="80">
        <f>SUM('Adjusted jurisdiction data'!E81,'Adjusted jurisdiction data'!E156,'Adjusted jurisdiction data'!E231,'Adjusted jurisdiction data'!E306,'Adjusted jurisdiction data'!E381,'Adjusted jurisdiction data'!E456,'Adjusted jurisdiction data'!E531,'Adjusted jurisdiction data'!E606)</f>
        <v>203013.52069785047</v>
      </c>
      <c r="F77" s="80">
        <f>SUM('Adjusted jurisdiction data'!F81,'Adjusted jurisdiction data'!F156,'Adjusted jurisdiction data'!F231,'Adjusted jurisdiction data'!F306,'Adjusted jurisdiction data'!F381,'Adjusted jurisdiction data'!F456,'Adjusted jurisdiction data'!F531,'Adjusted jurisdiction data'!F606)</f>
        <v>232219.09675499203</v>
      </c>
      <c r="G77" s="151"/>
      <c r="H77" s="77"/>
    </row>
    <row r="78" spans="1:8">
      <c r="A78" s="66"/>
      <c r="B78" s="161"/>
      <c r="C78" s="49" t="s">
        <v>172</v>
      </c>
      <c r="D78" s="48" t="s">
        <v>135</v>
      </c>
      <c r="E78" s="80">
        <f>SUM('Adjusted jurisdiction data'!E82,'Adjusted jurisdiction data'!E157,'Adjusted jurisdiction data'!E232,'Adjusted jurisdiction data'!E307,'Adjusted jurisdiction data'!E382,'Adjusted jurisdiction data'!E457,'Adjusted jurisdiction data'!E532,'Adjusted jurisdiction data'!E607)</f>
        <v>1147.8319999999999</v>
      </c>
      <c r="F78" s="80">
        <f>SUM('Adjusted jurisdiction data'!F82,'Adjusted jurisdiction data'!F157,'Adjusted jurisdiction data'!F232,'Adjusted jurisdiction data'!F307,'Adjusted jurisdiction data'!F382,'Adjusted jurisdiction data'!F457,'Adjusted jurisdiction data'!F532,'Adjusted jurisdiction data'!F607)</f>
        <v>1150.8150000000001</v>
      </c>
      <c r="G78" s="151"/>
      <c r="H78" s="77"/>
    </row>
    <row r="79" spans="1:8">
      <c r="G79" s="127"/>
      <c r="H79" s="77"/>
    </row>
  </sheetData>
  <mergeCells count="5">
    <mergeCell ref="A5:D5"/>
    <mergeCell ref="H5:I5"/>
    <mergeCell ref="B37:B38"/>
    <mergeCell ref="E5:F5"/>
    <mergeCell ref="J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0000"/>
  </sheetPr>
  <dimension ref="A1:X94"/>
  <sheetViews>
    <sheetView zoomScale="70" zoomScaleNormal="70" workbookViewId="0">
      <pane ySplit="7" topLeftCell="A8" activePane="bottomLeft" state="frozen"/>
      <selection pane="bottomLeft" activeCell="A8" sqref="A8"/>
    </sheetView>
  </sheetViews>
  <sheetFormatPr defaultColWidth="9.140625" defaultRowHeight="12.75"/>
  <cols>
    <col min="1" max="1" width="5.7109375" style="36" customWidth="1"/>
    <col min="2" max="2" width="97.5703125" style="36" customWidth="1"/>
    <col min="3" max="3" width="11.28515625" style="36" customWidth="1"/>
    <col min="4" max="4" width="10.7109375" style="77" customWidth="1"/>
    <col min="5" max="5" width="10.85546875" style="77" customWidth="1"/>
    <col min="6" max="6" width="9" style="77" customWidth="1"/>
    <col min="7" max="7" width="9.140625" style="36"/>
    <col min="8" max="8" width="25" style="36" customWidth="1"/>
    <col min="9" max="9" width="9.140625" style="36"/>
    <col min="10" max="10" width="91.5703125" style="36" customWidth="1"/>
    <col min="11" max="11" width="11.42578125" style="36" customWidth="1"/>
    <col min="12" max="12" width="11" style="36" customWidth="1"/>
    <col min="13" max="13" width="9" style="77" customWidth="1"/>
    <col min="14" max="14" width="9.7109375" style="36" bestFit="1" customWidth="1"/>
    <col min="15" max="15" width="69.140625" style="36" customWidth="1"/>
    <col min="16" max="17" width="13.140625" style="36" bestFit="1" customWidth="1"/>
    <col min="18" max="16384" width="9.140625" style="36"/>
  </cols>
  <sheetData>
    <row r="1" spans="1:24" s="21" customFormat="1" ht="21">
      <c r="A1" s="20" t="s">
        <v>713</v>
      </c>
      <c r="E1" s="22"/>
      <c r="F1" s="22"/>
      <c r="G1" s="22"/>
      <c r="H1" s="22"/>
      <c r="I1" s="22"/>
      <c r="J1" s="23"/>
      <c r="K1" s="24"/>
      <c r="L1" s="24"/>
      <c r="M1" s="24"/>
      <c r="N1" s="23"/>
      <c r="O1" s="24"/>
      <c r="V1" s="22"/>
      <c r="W1" s="25"/>
      <c r="X1" s="25"/>
    </row>
    <row r="2" spans="1:24" s="27" customFormat="1" ht="15.75">
      <c r="A2" s="26" t="s">
        <v>412</v>
      </c>
      <c r="C2" s="219" t="s">
        <v>400</v>
      </c>
      <c r="D2" s="179"/>
      <c r="E2" s="177" t="s">
        <v>444</v>
      </c>
      <c r="H2" s="28"/>
      <c r="I2" s="29"/>
      <c r="J2" s="30"/>
      <c r="K2" s="28"/>
      <c r="M2" s="29"/>
      <c r="N2" s="30"/>
      <c r="P2" s="31"/>
      <c r="Q2" s="31"/>
      <c r="R2" s="31"/>
      <c r="V2" s="29"/>
    </row>
    <row r="3" spans="1:24" s="200" customFormat="1">
      <c r="B3" s="201"/>
      <c r="D3" s="198"/>
      <c r="E3" s="177" t="s">
        <v>445</v>
      </c>
      <c r="I3" s="29"/>
      <c r="J3" s="202"/>
      <c r="M3" s="29"/>
      <c r="N3" s="202"/>
      <c r="V3" s="29"/>
    </row>
    <row r="4" spans="1:24" s="200" customFormat="1">
      <c r="D4" s="196"/>
      <c r="E4" s="177" t="s">
        <v>679</v>
      </c>
      <c r="I4" s="29"/>
      <c r="J4" s="202"/>
      <c r="M4" s="29"/>
      <c r="N4" s="202"/>
      <c r="P4" s="32"/>
      <c r="Q4" s="32"/>
      <c r="R4" s="32"/>
      <c r="V4" s="29"/>
    </row>
    <row r="5" spans="1:24" s="200" customFormat="1" ht="15" customHeight="1">
      <c r="D5" s="217"/>
      <c r="E5" s="171" t="s">
        <v>611</v>
      </c>
      <c r="I5" s="29"/>
      <c r="J5" s="202"/>
      <c r="M5" s="29"/>
      <c r="N5" s="202"/>
      <c r="P5" s="32"/>
      <c r="Q5" s="32"/>
      <c r="R5" s="32"/>
      <c r="V5" s="29"/>
    </row>
    <row r="6" spans="1:24" ht="18.75" customHeight="1">
      <c r="A6" s="33" t="s">
        <v>413</v>
      </c>
      <c r="B6" s="34"/>
      <c r="C6" s="220"/>
      <c r="D6" s="816"/>
      <c r="E6" s="817"/>
      <c r="F6" s="35"/>
      <c r="G6" s="818" t="s">
        <v>402</v>
      </c>
      <c r="H6" s="819"/>
      <c r="I6" s="819"/>
      <c r="J6" s="811"/>
      <c r="K6" s="820" t="s">
        <v>401</v>
      </c>
      <c r="L6" s="821"/>
      <c r="M6" s="35"/>
      <c r="N6" s="810" t="s">
        <v>403</v>
      </c>
      <c r="O6" s="811"/>
      <c r="P6" s="812" t="s">
        <v>401</v>
      </c>
      <c r="Q6" s="813"/>
    </row>
    <row r="7" spans="1:24">
      <c r="A7" s="37" t="s">
        <v>0</v>
      </c>
      <c r="B7" s="38" t="s">
        <v>1</v>
      </c>
      <c r="C7" s="39" t="s">
        <v>2</v>
      </c>
      <c r="D7" s="40" t="s">
        <v>680</v>
      </c>
      <c r="E7" s="40" t="s">
        <v>681</v>
      </c>
      <c r="F7" s="41"/>
      <c r="G7" s="747" t="s">
        <v>859</v>
      </c>
      <c r="H7" s="43" t="s">
        <v>409</v>
      </c>
      <c r="I7" s="747" t="s">
        <v>860</v>
      </c>
      <c r="J7" s="43" t="s">
        <v>404</v>
      </c>
      <c r="K7" s="42" t="s">
        <v>680</v>
      </c>
      <c r="L7" s="42" t="s">
        <v>681</v>
      </c>
      <c r="M7" s="41"/>
      <c r="N7" s="44" t="s">
        <v>0</v>
      </c>
      <c r="O7" s="45" t="s">
        <v>406</v>
      </c>
      <c r="P7" s="46" t="s">
        <v>680</v>
      </c>
      <c r="Q7" s="46" t="s">
        <v>681</v>
      </c>
    </row>
    <row r="8" spans="1:24">
      <c r="A8" s="47" t="s">
        <v>3</v>
      </c>
      <c r="B8" s="48" t="s">
        <v>79</v>
      </c>
      <c r="C8" s="49" t="s">
        <v>4</v>
      </c>
      <c r="D8" s="126">
        <v>0</v>
      </c>
      <c r="E8" s="126">
        <v>0</v>
      </c>
      <c r="F8" s="150"/>
      <c r="G8" s="50" t="s">
        <v>3</v>
      </c>
      <c r="H8" s="51" t="s">
        <v>137</v>
      </c>
      <c r="I8" s="49" t="s">
        <v>4</v>
      </c>
      <c r="J8" s="48" t="s">
        <v>79</v>
      </c>
      <c r="K8" s="80">
        <f>IF(ISNUMBER(D8),D8,"")</f>
        <v>0</v>
      </c>
      <c r="L8" s="80">
        <f>IF(ISNUMBER(E8),E8,"")</f>
        <v>0</v>
      </c>
      <c r="M8" s="150"/>
      <c r="N8" s="119" t="s">
        <v>324</v>
      </c>
      <c r="O8" s="18" t="s">
        <v>325</v>
      </c>
      <c r="P8" s="133">
        <f>K73</f>
        <v>81</v>
      </c>
      <c r="Q8" s="133">
        <f>L73</f>
        <v>126.39</v>
      </c>
    </row>
    <row r="9" spans="1:24">
      <c r="A9" s="52"/>
      <c r="B9" s="48" t="s">
        <v>139</v>
      </c>
      <c r="C9" s="49" t="s">
        <v>138</v>
      </c>
      <c r="D9" s="126">
        <v>0</v>
      </c>
      <c r="E9" s="126">
        <v>0</v>
      </c>
      <c r="F9" s="150"/>
      <c r="G9" s="53"/>
      <c r="H9" s="54"/>
      <c r="I9" s="49" t="s">
        <v>138</v>
      </c>
      <c r="J9" s="48" t="s">
        <v>139</v>
      </c>
      <c r="K9" s="80">
        <f t="shared" ref="K9:K53" si="0">IF(ISNUMBER(D9),D9,"")</f>
        <v>0</v>
      </c>
      <c r="L9" s="80">
        <f t="shared" ref="L9:L53" si="1">IF(ISNUMBER(E9),E9,"")</f>
        <v>0</v>
      </c>
      <c r="M9" s="150"/>
      <c r="N9" s="119" t="s">
        <v>326</v>
      </c>
      <c r="O9" s="18" t="s">
        <v>327</v>
      </c>
      <c r="P9" s="133">
        <f>K75</f>
        <v>0</v>
      </c>
      <c r="Q9" s="133">
        <f>L75</f>
        <v>0</v>
      </c>
    </row>
    <row r="10" spans="1:24">
      <c r="A10" s="55"/>
      <c r="B10" s="48" t="s">
        <v>80</v>
      </c>
      <c r="C10" s="49" t="s">
        <v>81</v>
      </c>
      <c r="D10" s="126">
        <v>0</v>
      </c>
      <c r="E10" s="126">
        <v>0</v>
      </c>
      <c r="F10" s="150"/>
      <c r="G10" s="56"/>
      <c r="H10" s="57"/>
      <c r="I10" s="49" t="s">
        <v>81</v>
      </c>
      <c r="J10" s="48" t="s">
        <v>80</v>
      </c>
      <c r="K10" s="80">
        <f t="shared" si="0"/>
        <v>0</v>
      </c>
      <c r="L10" s="80">
        <f t="shared" si="1"/>
        <v>0</v>
      </c>
      <c r="M10" s="150"/>
      <c r="N10" s="119" t="s">
        <v>328</v>
      </c>
      <c r="O10" s="18" t="s">
        <v>130</v>
      </c>
      <c r="P10" s="133">
        <f>K74</f>
        <v>330</v>
      </c>
      <c r="Q10" s="133">
        <f>L74</f>
        <v>156.5</v>
      </c>
    </row>
    <row r="11" spans="1:24">
      <c r="A11" s="58" t="s">
        <v>5</v>
      </c>
      <c r="B11" s="48" t="s">
        <v>82</v>
      </c>
      <c r="C11" s="49" t="s">
        <v>7</v>
      </c>
      <c r="D11" s="126">
        <v>0.11799999999999999</v>
      </c>
      <c r="E11" s="126">
        <v>0.249</v>
      </c>
      <c r="F11" s="150"/>
      <c r="G11" s="59" t="s">
        <v>5</v>
      </c>
      <c r="H11" s="48" t="s">
        <v>6</v>
      </c>
      <c r="I11" s="49" t="s">
        <v>7</v>
      </c>
      <c r="J11" s="48" t="s">
        <v>82</v>
      </c>
      <c r="K11" s="80">
        <f t="shared" si="0"/>
        <v>0.11799999999999999</v>
      </c>
      <c r="L11" s="80">
        <f t="shared" si="1"/>
        <v>0.249</v>
      </c>
      <c r="M11" s="150"/>
      <c r="N11" s="119" t="s">
        <v>329</v>
      </c>
      <c r="O11" s="18" t="s">
        <v>330</v>
      </c>
      <c r="P11" s="133">
        <f>K44</f>
        <v>14.23</v>
      </c>
      <c r="Q11" s="133">
        <f>L44</f>
        <v>8.8800000000000008</v>
      </c>
    </row>
    <row r="12" spans="1:24">
      <c r="A12" s="55" t="s">
        <v>8</v>
      </c>
      <c r="B12" s="48" t="s">
        <v>83</v>
      </c>
      <c r="C12" s="49" t="s">
        <v>9</v>
      </c>
      <c r="D12" s="126">
        <v>218.67</v>
      </c>
      <c r="E12" s="126">
        <v>230.93</v>
      </c>
      <c r="F12" s="150"/>
      <c r="G12" s="59" t="s">
        <v>8</v>
      </c>
      <c r="H12" s="48" t="s">
        <v>140</v>
      </c>
      <c r="I12" s="49" t="s">
        <v>9</v>
      </c>
      <c r="J12" s="48" t="s">
        <v>83</v>
      </c>
      <c r="K12" s="80">
        <f t="shared" si="0"/>
        <v>218.67</v>
      </c>
      <c r="L12" s="80">
        <f t="shared" si="1"/>
        <v>230.93</v>
      </c>
      <c r="M12" s="150"/>
      <c r="N12" s="119" t="s">
        <v>331</v>
      </c>
      <c r="O12" s="18" t="s">
        <v>332</v>
      </c>
      <c r="P12" s="133">
        <f>K46</f>
        <v>0</v>
      </c>
      <c r="Q12" s="133">
        <f>L46</f>
        <v>0</v>
      </c>
    </row>
    <row r="13" spans="1:24">
      <c r="A13" s="47" t="s">
        <v>10</v>
      </c>
      <c r="B13" s="48" t="s">
        <v>84</v>
      </c>
      <c r="C13" s="49" t="s">
        <v>12</v>
      </c>
      <c r="D13" s="126">
        <v>0</v>
      </c>
      <c r="E13" s="126">
        <v>0</v>
      </c>
      <c r="F13" s="150"/>
      <c r="G13" s="60" t="s">
        <v>10</v>
      </c>
      <c r="H13" s="51" t="s">
        <v>11</v>
      </c>
      <c r="I13" s="49" t="s">
        <v>12</v>
      </c>
      <c r="J13" s="48" t="s">
        <v>84</v>
      </c>
      <c r="K13" s="80">
        <f t="shared" si="0"/>
        <v>0</v>
      </c>
      <c r="L13" s="80">
        <f t="shared" si="1"/>
        <v>0</v>
      </c>
      <c r="M13" s="150"/>
      <c r="N13" s="119" t="s">
        <v>333</v>
      </c>
      <c r="O13" s="18" t="s">
        <v>334</v>
      </c>
      <c r="P13" s="133">
        <f>K43</f>
        <v>0</v>
      </c>
      <c r="Q13" s="133">
        <f>L43</f>
        <v>0</v>
      </c>
    </row>
    <row r="14" spans="1:24">
      <c r="A14" s="52"/>
      <c r="B14" s="48" t="s">
        <v>85</v>
      </c>
      <c r="C14" s="49" t="s">
        <v>13</v>
      </c>
      <c r="D14" s="126">
        <v>0</v>
      </c>
      <c r="E14" s="126">
        <v>0</v>
      </c>
      <c r="F14" s="150"/>
      <c r="G14" s="61"/>
      <c r="H14" s="54"/>
      <c r="I14" s="49" t="s">
        <v>13</v>
      </c>
      <c r="J14" s="48" t="s">
        <v>85</v>
      </c>
      <c r="K14" s="80">
        <f t="shared" si="0"/>
        <v>0</v>
      </c>
      <c r="L14" s="80">
        <f t="shared" si="1"/>
        <v>0</v>
      </c>
      <c r="M14" s="150"/>
      <c r="N14" s="119" t="s">
        <v>335</v>
      </c>
      <c r="O14" s="18" t="s">
        <v>336</v>
      </c>
      <c r="P14" s="133">
        <f>K9</f>
        <v>0</v>
      </c>
      <c r="Q14" s="133">
        <f>L9</f>
        <v>0</v>
      </c>
    </row>
    <row r="15" spans="1:24">
      <c r="A15" s="52"/>
      <c r="B15" s="48" t="s">
        <v>86</v>
      </c>
      <c r="C15" s="49" t="s">
        <v>14</v>
      </c>
      <c r="D15" s="126">
        <v>6.97</v>
      </c>
      <c r="E15" s="126">
        <v>9.64</v>
      </c>
      <c r="F15" s="150"/>
      <c r="G15" s="61"/>
      <c r="H15" s="54"/>
      <c r="I15" s="49" t="s">
        <v>14</v>
      </c>
      <c r="J15" s="48" t="s">
        <v>86</v>
      </c>
      <c r="K15" s="80">
        <f t="shared" si="0"/>
        <v>6.97</v>
      </c>
      <c r="L15" s="80">
        <f t="shared" si="1"/>
        <v>9.64</v>
      </c>
      <c r="M15" s="150"/>
      <c r="N15" s="119" t="s">
        <v>337</v>
      </c>
      <c r="O15" s="18" t="s">
        <v>322</v>
      </c>
      <c r="P15" s="133">
        <f t="shared" ref="P15:Q16" si="2">K47</f>
        <v>724</v>
      </c>
      <c r="Q15" s="133">
        <f t="shared" si="2"/>
        <v>786</v>
      </c>
    </row>
    <row r="16" spans="1:24">
      <c r="A16" s="52"/>
      <c r="B16" s="48" t="s">
        <v>87</v>
      </c>
      <c r="C16" s="49" t="s">
        <v>15</v>
      </c>
      <c r="D16" s="126">
        <v>0</v>
      </c>
      <c r="E16" s="126">
        <v>0</v>
      </c>
      <c r="F16" s="150"/>
      <c r="G16" s="61"/>
      <c r="H16" s="54"/>
      <c r="I16" s="49" t="s">
        <v>15</v>
      </c>
      <c r="J16" s="48" t="s">
        <v>87</v>
      </c>
      <c r="K16" s="80">
        <f t="shared" si="0"/>
        <v>0</v>
      </c>
      <c r="L16" s="80">
        <f t="shared" si="1"/>
        <v>0</v>
      </c>
      <c r="M16" s="150"/>
      <c r="N16" s="119" t="s">
        <v>338</v>
      </c>
      <c r="O16" s="18" t="s">
        <v>339</v>
      </c>
      <c r="P16" s="133">
        <f t="shared" si="2"/>
        <v>489.76</v>
      </c>
      <c r="Q16" s="133">
        <f t="shared" si="2"/>
        <v>1064</v>
      </c>
    </row>
    <row r="17" spans="1:17">
      <c r="A17" s="52"/>
      <c r="B17" s="48" t="s">
        <v>88</v>
      </c>
      <c r="C17" s="49" t="s">
        <v>16</v>
      </c>
      <c r="D17" s="126">
        <v>0</v>
      </c>
      <c r="E17" s="126">
        <v>0</v>
      </c>
      <c r="F17" s="150"/>
      <c r="G17" s="61"/>
      <c r="H17" s="54"/>
      <c r="I17" s="49" t="s">
        <v>16</v>
      </c>
      <c r="J17" s="48" t="s">
        <v>88</v>
      </c>
      <c r="K17" s="80">
        <f t="shared" si="0"/>
        <v>0</v>
      </c>
      <c r="L17" s="80">
        <f t="shared" si="1"/>
        <v>0</v>
      </c>
      <c r="M17" s="150"/>
      <c r="N17" s="119" t="s">
        <v>340</v>
      </c>
      <c r="O17" s="18" t="s">
        <v>341</v>
      </c>
      <c r="P17" s="133">
        <f>K54</f>
        <v>6.2160000000000002</v>
      </c>
      <c r="Q17" s="133">
        <f>L54</f>
        <v>19.062999999999999</v>
      </c>
    </row>
    <row r="18" spans="1:17">
      <c r="A18" s="52"/>
      <c r="B18" s="48" t="s">
        <v>89</v>
      </c>
      <c r="C18" s="49" t="s">
        <v>17</v>
      </c>
      <c r="D18" s="126">
        <v>0</v>
      </c>
      <c r="E18" s="126">
        <v>0</v>
      </c>
      <c r="F18" s="150"/>
      <c r="G18" s="61"/>
      <c r="H18" s="54"/>
      <c r="I18" s="49" t="s">
        <v>17</v>
      </c>
      <c r="J18" s="48" t="s">
        <v>89</v>
      </c>
      <c r="K18" s="80">
        <f t="shared" si="0"/>
        <v>0</v>
      </c>
      <c r="L18" s="80">
        <f t="shared" si="1"/>
        <v>0</v>
      </c>
      <c r="M18" s="150"/>
      <c r="N18" s="119" t="s">
        <v>342</v>
      </c>
      <c r="O18" s="18" t="s">
        <v>343</v>
      </c>
      <c r="P18" s="133">
        <f>K49</f>
        <v>0</v>
      </c>
      <c r="Q18" s="133">
        <f>L49</f>
        <v>0</v>
      </c>
    </row>
    <row r="19" spans="1:17">
      <c r="A19" s="52"/>
      <c r="B19" s="48" t="s">
        <v>90</v>
      </c>
      <c r="C19" s="49" t="s">
        <v>18</v>
      </c>
      <c r="D19" s="126">
        <v>0</v>
      </c>
      <c r="E19" s="126">
        <v>0</v>
      </c>
      <c r="F19" s="150"/>
      <c r="G19" s="61"/>
      <c r="H19" s="54"/>
      <c r="I19" s="49" t="s">
        <v>18</v>
      </c>
      <c r="J19" s="48" t="s">
        <v>90</v>
      </c>
      <c r="K19" s="80">
        <f t="shared" si="0"/>
        <v>0</v>
      </c>
      <c r="L19" s="80">
        <f t="shared" si="1"/>
        <v>0</v>
      </c>
      <c r="M19" s="150"/>
      <c r="N19" s="119" t="s">
        <v>344</v>
      </c>
      <c r="O19" s="18" t="s">
        <v>345</v>
      </c>
      <c r="P19" s="133">
        <f t="shared" ref="P19:Q20" si="3">K38</f>
        <v>74</v>
      </c>
      <c r="Q19" s="133">
        <f t="shared" si="3"/>
        <v>131.91</v>
      </c>
    </row>
    <row r="20" spans="1:17">
      <c r="A20" s="52"/>
      <c r="B20" s="48" t="s">
        <v>141</v>
      </c>
      <c r="C20" s="49" t="s">
        <v>19</v>
      </c>
      <c r="D20" s="126">
        <v>0</v>
      </c>
      <c r="E20" s="126">
        <v>0</v>
      </c>
      <c r="F20" s="150"/>
      <c r="G20" s="61"/>
      <c r="H20" s="54"/>
      <c r="I20" s="49" t="s">
        <v>19</v>
      </c>
      <c r="J20" s="48" t="s">
        <v>141</v>
      </c>
      <c r="K20" s="80">
        <f t="shared" si="0"/>
        <v>0</v>
      </c>
      <c r="L20" s="80">
        <f t="shared" si="1"/>
        <v>0</v>
      </c>
      <c r="M20" s="150"/>
      <c r="N20" s="119" t="s">
        <v>346</v>
      </c>
      <c r="O20" s="18" t="s">
        <v>347</v>
      </c>
      <c r="P20" s="133">
        <f t="shared" si="3"/>
        <v>0.88</v>
      </c>
      <c r="Q20" s="133">
        <f t="shared" si="3"/>
        <v>6</v>
      </c>
    </row>
    <row r="21" spans="1:17">
      <c r="A21" s="52"/>
      <c r="B21" s="48" t="s">
        <v>143</v>
      </c>
      <c r="C21" s="49" t="s">
        <v>142</v>
      </c>
      <c r="D21" s="126">
        <v>0</v>
      </c>
      <c r="E21" s="126">
        <v>0</v>
      </c>
      <c r="F21" s="150"/>
      <c r="G21" s="61"/>
      <c r="H21" s="54"/>
      <c r="I21" s="49" t="s">
        <v>142</v>
      </c>
      <c r="J21" s="48" t="s">
        <v>143</v>
      </c>
      <c r="K21" s="80">
        <f t="shared" si="0"/>
        <v>0</v>
      </c>
      <c r="L21" s="80">
        <f t="shared" si="1"/>
        <v>0</v>
      </c>
      <c r="M21" s="150"/>
      <c r="N21" s="119" t="s">
        <v>348</v>
      </c>
      <c r="O21" s="18" t="s">
        <v>349</v>
      </c>
      <c r="P21" s="133">
        <f>K76</f>
        <v>18.87</v>
      </c>
      <c r="Q21" s="133">
        <f>L76</f>
        <v>30.52</v>
      </c>
    </row>
    <row r="22" spans="1:17">
      <c r="A22" s="52"/>
      <c r="B22" s="48" t="s">
        <v>91</v>
      </c>
      <c r="C22" s="49" t="s">
        <v>20</v>
      </c>
      <c r="D22" s="126">
        <v>0</v>
      </c>
      <c r="E22" s="126">
        <v>0</v>
      </c>
      <c r="F22" s="150"/>
      <c r="G22" s="61"/>
      <c r="H22" s="54"/>
      <c r="I22" s="49" t="s">
        <v>20</v>
      </c>
      <c r="J22" s="48" t="s">
        <v>91</v>
      </c>
      <c r="K22" s="80">
        <f t="shared" si="0"/>
        <v>0</v>
      </c>
      <c r="L22" s="80">
        <f t="shared" si="1"/>
        <v>0</v>
      </c>
      <c r="M22" s="150"/>
      <c r="N22" s="119" t="s">
        <v>350</v>
      </c>
      <c r="O22" s="18" t="s">
        <v>351</v>
      </c>
      <c r="P22" s="133">
        <f t="shared" ref="P22:Q22" si="4">SUM(K79,K34:K35,K37)</f>
        <v>0.193</v>
      </c>
      <c r="Q22" s="133">
        <f t="shared" si="4"/>
        <v>2.1000000000000001E-2</v>
      </c>
    </row>
    <row r="23" spans="1:17">
      <c r="A23" s="52"/>
      <c r="B23" s="48" t="s">
        <v>144</v>
      </c>
      <c r="C23" s="49" t="s">
        <v>21</v>
      </c>
      <c r="D23" s="126">
        <v>0</v>
      </c>
      <c r="E23" s="126">
        <v>0</v>
      </c>
      <c r="F23" s="150"/>
      <c r="G23" s="61"/>
      <c r="H23" s="54"/>
      <c r="I23" s="49" t="s">
        <v>21</v>
      </c>
      <c r="J23" s="48" t="s">
        <v>144</v>
      </c>
      <c r="K23" s="80">
        <f t="shared" si="0"/>
        <v>0</v>
      </c>
      <c r="L23" s="80">
        <f t="shared" si="1"/>
        <v>0</v>
      </c>
      <c r="M23" s="150"/>
      <c r="N23" s="119" t="s">
        <v>352</v>
      </c>
      <c r="O23" s="18" t="s">
        <v>353</v>
      </c>
      <c r="P23" s="133">
        <f>K77</f>
        <v>13</v>
      </c>
      <c r="Q23" s="133">
        <f>L77</f>
        <v>7.44</v>
      </c>
    </row>
    <row r="24" spans="1:17">
      <c r="A24" s="52"/>
      <c r="B24" s="48" t="s">
        <v>92</v>
      </c>
      <c r="C24" s="49" t="s">
        <v>22</v>
      </c>
      <c r="D24" s="126">
        <v>0</v>
      </c>
      <c r="E24" s="126">
        <v>0</v>
      </c>
      <c r="F24" s="150"/>
      <c r="G24" s="61"/>
      <c r="H24" s="54"/>
      <c r="I24" s="49" t="s">
        <v>22</v>
      </c>
      <c r="J24" s="48" t="s">
        <v>92</v>
      </c>
      <c r="K24" s="80">
        <f t="shared" si="0"/>
        <v>0</v>
      </c>
      <c r="L24" s="80">
        <f t="shared" si="1"/>
        <v>0</v>
      </c>
      <c r="M24" s="150"/>
      <c r="N24" s="119" t="s">
        <v>354</v>
      </c>
      <c r="O24" s="18" t="s">
        <v>355</v>
      </c>
      <c r="P24" s="133">
        <f>K8</f>
        <v>0</v>
      </c>
      <c r="Q24" s="133">
        <f>L8</f>
        <v>0</v>
      </c>
    </row>
    <row r="25" spans="1:17">
      <c r="A25" s="52"/>
      <c r="B25" s="48" t="s">
        <v>93</v>
      </c>
      <c r="C25" s="49" t="s">
        <v>23</v>
      </c>
      <c r="D25" s="126">
        <v>93.96</v>
      </c>
      <c r="E25" s="126">
        <v>70.37</v>
      </c>
      <c r="F25" s="150"/>
      <c r="G25" s="61"/>
      <c r="H25" s="54"/>
      <c r="I25" s="49" t="s">
        <v>23</v>
      </c>
      <c r="J25" s="48" t="s">
        <v>93</v>
      </c>
      <c r="K25" s="80">
        <f t="shared" si="0"/>
        <v>93.96</v>
      </c>
      <c r="L25" s="80">
        <f t="shared" si="1"/>
        <v>70.37</v>
      </c>
      <c r="M25" s="150"/>
      <c r="N25" s="119" t="s">
        <v>356</v>
      </c>
      <c r="O25" s="18" t="s">
        <v>357</v>
      </c>
      <c r="P25" s="133">
        <f t="shared" ref="P25:Q25" si="5">SUM(K70,K67:K68,K72)</f>
        <v>0</v>
      </c>
      <c r="Q25" s="133">
        <f t="shared" si="5"/>
        <v>0</v>
      </c>
    </row>
    <row r="26" spans="1:17" ht="15" customHeight="1">
      <c r="A26" s="52"/>
      <c r="B26" s="48" t="s">
        <v>94</v>
      </c>
      <c r="C26" s="49" t="s">
        <v>24</v>
      </c>
      <c r="D26" s="126">
        <v>0</v>
      </c>
      <c r="E26" s="126">
        <v>0</v>
      </c>
      <c r="F26" s="150"/>
      <c r="G26" s="61"/>
      <c r="H26" s="54"/>
      <c r="I26" s="49" t="s">
        <v>24</v>
      </c>
      <c r="J26" s="48" t="s">
        <v>94</v>
      </c>
      <c r="K26" s="80">
        <f t="shared" si="0"/>
        <v>0</v>
      </c>
      <c r="L26" s="80">
        <f t="shared" si="1"/>
        <v>0</v>
      </c>
      <c r="M26" s="150"/>
      <c r="N26" s="62"/>
      <c r="O26" s="63" t="s">
        <v>407</v>
      </c>
      <c r="P26" s="64"/>
      <c r="Q26" s="65"/>
    </row>
    <row r="27" spans="1:17">
      <c r="A27" s="52"/>
      <c r="B27" s="48" t="s">
        <v>145</v>
      </c>
      <c r="C27" s="49" t="s">
        <v>25</v>
      </c>
      <c r="D27" s="126">
        <v>0</v>
      </c>
      <c r="E27" s="126">
        <v>0</v>
      </c>
      <c r="F27" s="150"/>
      <c r="G27" s="61"/>
      <c r="H27" s="54"/>
      <c r="I27" s="49" t="s">
        <v>25</v>
      </c>
      <c r="J27" s="48" t="s">
        <v>145</v>
      </c>
      <c r="K27" s="80">
        <f t="shared" si="0"/>
        <v>0</v>
      </c>
      <c r="L27" s="80">
        <f t="shared" si="1"/>
        <v>0</v>
      </c>
      <c r="M27" s="150"/>
      <c r="N27" s="119" t="s">
        <v>358</v>
      </c>
      <c r="O27" s="19" t="s">
        <v>84</v>
      </c>
      <c r="P27" s="133">
        <f>K13</f>
        <v>0</v>
      </c>
      <c r="Q27" s="133">
        <f>L13</f>
        <v>0</v>
      </c>
    </row>
    <row r="28" spans="1:17">
      <c r="A28" s="52"/>
      <c r="B28" s="48" t="s">
        <v>147</v>
      </c>
      <c r="C28" s="49" t="s">
        <v>146</v>
      </c>
      <c r="D28" s="126">
        <v>0</v>
      </c>
      <c r="E28" s="126">
        <v>0</v>
      </c>
      <c r="F28" s="150"/>
      <c r="G28" s="61"/>
      <c r="H28" s="54"/>
      <c r="I28" s="49" t="s">
        <v>146</v>
      </c>
      <c r="J28" s="48" t="s">
        <v>147</v>
      </c>
      <c r="K28" s="80">
        <f t="shared" si="0"/>
        <v>0</v>
      </c>
      <c r="L28" s="80">
        <f t="shared" si="1"/>
        <v>0</v>
      </c>
      <c r="M28" s="150"/>
      <c r="N28" s="119" t="s">
        <v>359</v>
      </c>
      <c r="O28" s="19" t="s">
        <v>90</v>
      </c>
      <c r="P28" s="133">
        <f>K19</f>
        <v>0</v>
      </c>
      <c r="Q28" s="133">
        <f>L19</f>
        <v>0</v>
      </c>
    </row>
    <row r="29" spans="1:17">
      <c r="A29" s="52"/>
      <c r="B29" s="48" t="s">
        <v>149</v>
      </c>
      <c r="C29" s="49" t="s">
        <v>148</v>
      </c>
      <c r="D29" s="126">
        <v>0</v>
      </c>
      <c r="E29" s="126">
        <v>0</v>
      </c>
      <c r="F29" s="150"/>
      <c r="G29" s="61"/>
      <c r="H29" s="54"/>
      <c r="I29" s="49" t="s">
        <v>148</v>
      </c>
      <c r="J29" s="48" t="s">
        <v>149</v>
      </c>
      <c r="K29" s="80">
        <f t="shared" si="0"/>
        <v>0</v>
      </c>
      <c r="L29" s="80">
        <f t="shared" si="1"/>
        <v>0</v>
      </c>
      <c r="M29" s="150"/>
      <c r="N29" s="119" t="s">
        <v>360</v>
      </c>
      <c r="O29" s="19" t="s">
        <v>361</v>
      </c>
      <c r="P29" s="133">
        <f>K17</f>
        <v>0</v>
      </c>
      <c r="Q29" s="133">
        <f>L17</f>
        <v>0</v>
      </c>
    </row>
    <row r="30" spans="1:17">
      <c r="A30" s="52"/>
      <c r="B30" s="48" t="s">
        <v>150</v>
      </c>
      <c r="C30" s="49" t="s">
        <v>26</v>
      </c>
      <c r="D30" s="126">
        <v>0</v>
      </c>
      <c r="E30" s="126">
        <v>0</v>
      </c>
      <c r="F30" s="150"/>
      <c r="G30" s="61"/>
      <c r="H30" s="54"/>
      <c r="I30" s="49" t="s">
        <v>26</v>
      </c>
      <c r="J30" s="48" t="s">
        <v>150</v>
      </c>
      <c r="K30" s="80">
        <f t="shared" si="0"/>
        <v>0</v>
      </c>
      <c r="L30" s="80">
        <f t="shared" si="1"/>
        <v>0</v>
      </c>
      <c r="M30" s="150"/>
      <c r="N30" s="119" t="s">
        <v>362</v>
      </c>
      <c r="O30" s="19" t="s">
        <v>91</v>
      </c>
      <c r="P30" s="133">
        <f>K22</f>
        <v>0</v>
      </c>
      <c r="Q30" s="133">
        <f>L22</f>
        <v>0</v>
      </c>
    </row>
    <row r="31" spans="1:17">
      <c r="A31" s="52"/>
      <c r="B31" s="48" t="s">
        <v>95</v>
      </c>
      <c r="C31" s="49" t="s">
        <v>27</v>
      </c>
      <c r="D31" s="126">
        <v>0</v>
      </c>
      <c r="E31" s="126">
        <v>0.4</v>
      </c>
      <c r="F31" s="150"/>
      <c r="G31" s="61"/>
      <c r="H31" s="54"/>
      <c r="I31" s="49" t="s">
        <v>27</v>
      </c>
      <c r="J31" s="48" t="s">
        <v>95</v>
      </c>
      <c r="K31" s="80">
        <f t="shared" si="0"/>
        <v>0</v>
      </c>
      <c r="L31" s="80">
        <f t="shared" si="1"/>
        <v>0.4</v>
      </c>
      <c r="M31" s="150"/>
      <c r="N31" s="119" t="s">
        <v>363</v>
      </c>
      <c r="O31" s="19" t="s">
        <v>94</v>
      </c>
      <c r="P31" s="133">
        <f>K26</f>
        <v>0</v>
      </c>
      <c r="Q31" s="133">
        <f>L26</f>
        <v>0</v>
      </c>
    </row>
    <row r="32" spans="1:17">
      <c r="A32" s="52"/>
      <c r="B32" s="48" t="s">
        <v>96</v>
      </c>
      <c r="C32" s="49" t="s">
        <v>28</v>
      </c>
      <c r="D32" s="126">
        <v>0</v>
      </c>
      <c r="E32" s="126">
        <v>0</v>
      </c>
      <c r="F32" s="150"/>
      <c r="G32" s="61"/>
      <c r="H32" s="54"/>
      <c r="I32" s="49" t="s">
        <v>28</v>
      </c>
      <c r="J32" s="48" t="s">
        <v>96</v>
      </c>
      <c r="K32" s="80">
        <f t="shared" si="0"/>
        <v>0</v>
      </c>
      <c r="L32" s="80">
        <f t="shared" si="1"/>
        <v>0</v>
      </c>
      <c r="M32" s="150"/>
      <c r="N32" s="119" t="s">
        <v>364</v>
      </c>
      <c r="O32" s="19" t="s">
        <v>87</v>
      </c>
      <c r="P32" s="133">
        <f>K16</f>
        <v>0</v>
      </c>
      <c r="Q32" s="133">
        <f>L16</f>
        <v>0</v>
      </c>
    </row>
    <row r="33" spans="1:17">
      <c r="A33" s="52"/>
      <c r="B33" s="48" t="s">
        <v>97</v>
      </c>
      <c r="C33" s="49" t="s">
        <v>29</v>
      </c>
      <c r="D33" s="126">
        <v>0</v>
      </c>
      <c r="E33" s="126">
        <v>0</v>
      </c>
      <c r="F33" s="150"/>
      <c r="G33" s="61"/>
      <c r="H33" s="54"/>
      <c r="I33" s="49" t="s">
        <v>29</v>
      </c>
      <c r="J33" s="48" t="s">
        <v>97</v>
      </c>
      <c r="K33" s="80">
        <f t="shared" si="0"/>
        <v>0</v>
      </c>
      <c r="L33" s="80">
        <f t="shared" si="1"/>
        <v>0</v>
      </c>
      <c r="M33" s="150"/>
      <c r="N33" s="119" t="s">
        <v>365</v>
      </c>
      <c r="O33" s="19" t="s">
        <v>145</v>
      </c>
      <c r="P33" s="133">
        <f>K27</f>
        <v>0</v>
      </c>
      <c r="Q33" s="133">
        <f>L27</f>
        <v>0</v>
      </c>
    </row>
    <row r="34" spans="1:17">
      <c r="A34" s="52"/>
      <c r="B34" s="48" t="s">
        <v>98</v>
      </c>
      <c r="C34" s="49" t="s">
        <v>99</v>
      </c>
      <c r="D34" s="126">
        <v>0</v>
      </c>
      <c r="E34" s="126">
        <v>0</v>
      </c>
      <c r="F34" s="150"/>
      <c r="G34" s="61"/>
      <c r="H34" s="54"/>
      <c r="I34" s="49" t="s">
        <v>99</v>
      </c>
      <c r="J34" s="48" t="s">
        <v>98</v>
      </c>
      <c r="K34" s="80">
        <f t="shared" si="0"/>
        <v>0</v>
      </c>
      <c r="L34" s="80">
        <f t="shared" si="1"/>
        <v>0</v>
      </c>
      <c r="M34" s="150"/>
      <c r="N34" s="119" t="s">
        <v>366</v>
      </c>
      <c r="O34" s="19" t="s">
        <v>89</v>
      </c>
      <c r="P34" s="133">
        <f>K18</f>
        <v>0</v>
      </c>
      <c r="Q34" s="133">
        <f>L18</f>
        <v>0</v>
      </c>
    </row>
    <row r="35" spans="1:17">
      <c r="A35" s="52"/>
      <c r="B35" s="48" t="s">
        <v>100</v>
      </c>
      <c r="C35" s="49" t="s">
        <v>101</v>
      </c>
      <c r="D35" s="126">
        <v>0</v>
      </c>
      <c r="E35" s="126">
        <v>0</v>
      </c>
      <c r="F35" s="150"/>
      <c r="G35" s="61"/>
      <c r="H35" s="54"/>
      <c r="I35" s="49" t="s">
        <v>101</v>
      </c>
      <c r="J35" s="48" t="s">
        <v>100</v>
      </c>
      <c r="K35" s="80">
        <f t="shared" si="0"/>
        <v>0</v>
      </c>
      <c r="L35" s="80">
        <f t="shared" si="1"/>
        <v>0</v>
      </c>
      <c r="M35" s="150"/>
      <c r="N35" s="119" t="s">
        <v>367</v>
      </c>
      <c r="O35" s="19" t="s">
        <v>141</v>
      </c>
      <c r="P35" s="133">
        <f>K20</f>
        <v>0</v>
      </c>
      <c r="Q35" s="133">
        <f>L20</f>
        <v>0</v>
      </c>
    </row>
    <row r="36" spans="1:17">
      <c r="A36" s="52"/>
      <c r="B36" s="48" t="s">
        <v>151</v>
      </c>
      <c r="C36" s="49" t="s">
        <v>30</v>
      </c>
      <c r="D36" s="126">
        <v>0</v>
      </c>
      <c r="E36" s="126">
        <v>0</v>
      </c>
      <c r="F36" s="150"/>
      <c r="G36" s="66"/>
      <c r="H36" s="57"/>
      <c r="I36" s="49" t="s">
        <v>30</v>
      </c>
      <c r="J36" s="48" t="s">
        <v>151</v>
      </c>
      <c r="K36" s="80">
        <f t="shared" si="0"/>
        <v>0</v>
      </c>
      <c r="L36" s="80">
        <f t="shared" si="1"/>
        <v>0</v>
      </c>
      <c r="M36" s="150"/>
      <c r="N36" s="119" t="s">
        <v>368</v>
      </c>
      <c r="O36" s="19" t="s">
        <v>147</v>
      </c>
      <c r="P36" s="133">
        <f>K28</f>
        <v>0</v>
      </c>
      <c r="Q36" s="133">
        <f>L28</f>
        <v>0</v>
      </c>
    </row>
    <row r="37" spans="1:17">
      <c r="A37" s="47" t="s">
        <v>31</v>
      </c>
      <c r="B37" s="48" t="s">
        <v>102</v>
      </c>
      <c r="C37" s="49" t="s">
        <v>33</v>
      </c>
      <c r="D37" s="126">
        <v>0.193</v>
      </c>
      <c r="E37" s="126">
        <v>2.1000000000000001E-2</v>
      </c>
      <c r="F37" s="150"/>
      <c r="G37" s="59" t="s">
        <v>31</v>
      </c>
      <c r="H37" s="48" t="s">
        <v>32</v>
      </c>
      <c r="I37" s="49" t="s">
        <v>33</v>
      </c>
      <c r="J37" s="48" t="s">
        <v>102</v>
      </c>
      <c r="K37" s="80">
        <f t="shared" si="0"/>
        <v>0.193</v>
      </c>
      <c r="L37" s="80">
        <f t="shared" si="1"/>
        <v>2.1000000000000001E-2</v>
      </c>
      <c r="M37" s="150"/>
      <c r="N37" s="119" t="s">
        <v>369</v>
      </c>
      <c r="O37" s="19" t="s">
        <v>86</v>
      </c>
      <c r="P37" s="133">
        <f>K15</f>
        <v>6.97</v>
      </c>
      <c r="Q37" s="133">
        <f>L15</f>
        <v>9.64</v>
      </c>
    </row>
    <row r="38" spans="1:17">
      <c r="A38" s="47" t="s">
        <v>34</v>
      </c>
      <c r="B38" s="48" t="s">
        <v>103</v>
      </c>
      <c r="C38" s="49" t="s">
        <v>35</v>
      </c>
      <c r="D38" s="126">
        <v>74</v>
      </c>
      <c r="E38" s="126">
        <v>131.91</v>
      </c>
      <c r="F38" s="150"/>
      <c r="G38" s="60" t="s">
        <v>34</v>
      </c>
      <c r="H38" s="814" t="s">
        <v>152</v>
      </c>
      <c r="I38" s="49" t="s">
        <v>35</v>
      </c>
      <c r="J38" s="48" t="s">
        <v>103</v>
      </c>
      <c r="K38" s="80">
        <f t="shared" si="0"/>
        <v>74</v>
      </c>
      <c r="L38" s="80">
        <f t="shared" si="1"/>
        <v>131.91</v>
      </c>
      <c r="M38" s="150"/>
      <c r="N38" s="119" t="s">
        <v>370</v>
      </c>
      <c r="O38" s="19" t="s">
        <v>143</v>
      </c>
      <c r="P38" s="133">
        <f>K21</f>
        <v>0</v>
      </c>
      <c r="Q38" s="133">
        <f>L21</f>
        <v>0</v>
      </c>
    </row>
    <row r="39" spans="1:17">
      <c r="A39" s="55"/>
      <c r="B39" s="48" t="s">
        <v>104</v>
      </c>
      <c r="C39" s="49" t="s">
        <v>105</v>
      </c>
      <c r="D39" s="126">
        <v>0.88</v>
      </c>
      <c r="E39" s="126">
        <v>6</v>
      </c>
      <c r="F39" s="150"/>
      <c r="G39" s="66"/>
      <c r="H39" s="815"/>
      <c r="I39" s="49" t="s">
        <v>105</v>
      </c>
      <c r="J39" s="48" t="s">
        <v>104</v>
      </c>
      <c r="K39" s="80">
        <f t="shared" si="0"/>
        <v>0.88</v>
      </c>
      <c r="L39" s="80">
        <f t="shared" si="1"/>
        <v>6</v>
      </c>
      <c r="M39" s="150"/>
      <c r="N39" s="119" t="s">
        <v>371</v>
      </c>
      <c r="O39" s="19" t="s">
        <v>93</v>
      </c>
      <c r="P39" s="133">
        <f>K25</f>
        <v>93.96</v>
      </c>
      <c r="Q39" s="133">
        <f>L25</f>
        <v>70.37</v>
      </c>
    </row>
    <row r="40" spans="1:17">
      <c r="A40" s="52" t="s">
        <v>37</v>
      </c>
      <c r="B40" s="48" t="s">
        <v>106</v>
      </c>
      <c r="C40" s="49" t="s">
        <v>38</v>
      </c>
      <c r="D40" s="126">
        <v>0</v>
      </c>
      <c r="E40" s="126">
        <v>0</v>
      </c>
      <c r="F40" s="150"/>
      <c r="G40" s="60" t="s">
        <v>37</v>
      </c>
      <c r="H40" s="51" t="s">
        <v>153</v>
      </c>
      <c r="I40" s="49" t="s">
        <v>38</v>
      </c>
      <c r="J40" s="48" t="s">
        <v>106</v>
      </c>
      <c r="K40" s="80">
        <f t="shared" si="0"/>
        <v>0</v>
      </c>
      <c r="L40" s="80">
        <f t="shared" si="1"/>
        <v>0</v>
      </c>
      <c r="M40" s="150"/>
      <c r="N40" s="119" t="s">
        <v>372</v>
      </c>
      <c r="O40" s="19" t="s">
        <v>85</v>
      </c>
      <c r="P40" s="133">
        <f>K14</f>
        <v>0</v>
      </c>
      <c r="Q40" s="133">
        <f>L14</f>
        <v>0</v>
      </c>
    </row>
    <row r="41" spans="1:17">
      <c r="A41" s="52"/>
      <c r="B41" s="48" t="s">
        <v>107</v>
      </c>
      <c r="C41" s="49" t="s">
        <v>39</v>
      </c>
      <c r="D41" s="126">
        <v>40.549999999999997</v>
      </c>
      <c r="E41" s="126">
        <v>23.93</v>
      </c>
      <c r="F41" s="150"/>
      <c r="G41" s="61"/>
      <c r="H41" s="54"/>
      <c r="I41" s="49" t="s">
        <v>39</v>
      </c>
      <c r="J41" s="48" t="s">
        <v>107</v>
      </c>
      <c r="K41" s="80">
        <f t="shared" si="0"/>
        <v>40.549999999999997</v>
      </c>
      <c r="L41" s="80">
        <f t="shared" si="1"/>
        <v>23.93</v>
      </c>
      <c r="M41" s="150"/>
      <c r="N41" s="119" t="s">
        <v>373</v>
      </c>
      <c r="O41" s="19" t="s">
        <v>374</v>
      </c>
      <c r="P41" s="133">
        <f t="shared" ref="P41:Q43" si="6">K10</f>
        <v>0</v>
      </c>
      <c r="Q41" s="133">
        <f t="shared" si="6"/>
        <v>0</v>
      </c>
    </row>
    <row r="42" spans="1:17">
      <c r="A42" s="52"/>
      <c r="B42" s="48" t="s">
        <v>108</v>
      </c>
      <c r="C42" s="49" t="s">
        <v>40</v>
      </c>
      <c r="D42" s="126">
        <v>1.91</v>
      </c>
      <c r="E42" s="126">
        <v>0.65</v>
      </c>
      <c r="F42" s="150"/>
      <c r="G42" s="61"/>
      <c r="H42" s="54"/>
      <c r="I42" s="49" t="s">
        <v>40</v>
      </c>
      <c r="J42" s="48" t="s">
        <v>108</v>
      </c>
      <c r="K42" s="80">
        <f t="shared" si="0"/>
        <v>1.91</v>
      </c>
      <c r="L42" s="80">
        <f t="shared" si="1"/>
        <v>0.65</v>
      </c>
      <c r="M42" s="150"/>
      <c r="N42" s="119" t="s">
        <v>375</v>
      </c>
      <c r="O42" s="19" t="s">
        <v>82</v>
      </c>
      <c r="P42" s="133">
        <f t="shared" si="6"/>
        <v>0.11799999999999999</v>
      </c>
      <c r="Q42" s="133">
        <f t="shared" si="6"/>
        <v>0.249</v>
      </c>
    </row>
    <row r="43" spans="1:17">
      <c r="A43" s="55"/>
      <c r="B43" s="48" t="s">
        <v>109</v>
      </c>
      <c r="C43" s="49" t="s">
        <v>41</v>
      </c>
      <c r="D43" s="126">
        <v>0</v>
      </c>
      <c r="E43" s="126">
        <v>0</v>
      </c>
      <c r="F43" s="150"/>
      <c r="G43" s="66"/>
      <c r="H43" s="57"/>
      <c r="I43" s="49" t="s">
        <v>41</v>
      </c>
      <c r="J43" s="48" t="s">
        <v>109</v>
      </c>
      <c r="K43" s="80">
        <f t="shared" si="0"/>
        <v>0</v>
      </c>
      <c r="L43" s="80">
        <f t="shared" si="1"/>
        <v>0</v>
      </c>
      <c r="M43" s="150"/>
      <c r="N43" s="119" t="s">
        <v>376</v>
      </c>
      <c r="O43" s="19" t="s">
        <v>83</v>
      </c>
      <c r="P43" s="133">
        <f t="shared" si="6"/>
        <v>218.67</v>
      </c>
      <c r="Q43" s="133">
        <f t="shared" si="6"/>
        <v>230.93</v>
      </c>
    </row>
    <row r="44" spans="1:17">
      <c r="A44" s="52" t="s">
        <v>42</v>
      </c>
      <c r="B44" s="48" t="s">
        <v>110</v>
      </c>
      <c r="C44" s="49" t="s">
        <v>43</v>
      </c>
      <c r="D44" s="126">
        <v>14.23</v>
      </c>
      <c r="E44" s="126">
        <v>8.8800000000000008</v>
      </c>
      <c r="F44" s="150"/>
      <c r="G44" s="60" t="s">
        <v>42</v>
      </c>
      <c r="H44" s="51" t="s">
        <v>154</v>
      </c>
      <c r="I44" s="49" t="s">
        <v>43</v>
      </c>
      <c r="J44" s="48" t="s">
        <v>110</v>
      </c>
      <c r="K44" s="80">
        <f t="shared" si="0"/>
        <v>14.23</v>
      </c>
      <c r="L44" s="80">
        <f t="shared" si="1"/>
        <v>8.8800000000000008</v>
      </c>
      <c r="M44" s="150"/>
      <c r="N44" s="119" t="s">
        <v>377</v>
      </c>
      <c r="O44" s="19" t="s">
        <v>378</v>
      </c>
      <c r="P44" s="133">
        <f>K71</f>
        <v>0</v>
      </c>
      <c r="Q44" s="133">
        <f>L71</f>
        <v>0</v>
      </c>
    </row>
    <row r="45" spans="1:17">
      <c r="A45" s="52"/>
      <c r="B45" s="48" t="s">
        <v>111</v>
      </c>
      <c r="C45" s="49" t="s">
        <v>44</v>
      </c>
      <c r="D45" s="126">
        <v>0</v>
      </c>
      <c r="E45" s="126">
        <v>0</v>
      </c>
      <c r="F45" s="150"/>
      <c r="G45" s="61"/>
      <c r="H45" s="54"/>
      <c r="I45" s="49" t="s">
        <v>44</v>
      </c>
      <c r="J45" s="48" t="s">
        <v>111</v>
      </c>
      <c r="K45" s="80">
        <f t="shared" si="0"/>
        <v>0</v>
      </c>
      <c r="L45" s="80">
        <f t="shared" si="1"/>
        <v>0</v>
      </c>
      <c r="M45" s="150"/>
      <c r="N45" s="119" t="s">
        <v>379</v>
      </c>
      <c r="O45" s="19" t="s">
        <v>176</v>
      </c>
      <c r="P45" s="133">
        <f>K45</f>
        <v>0</v>
      </c>
      <c r="Q45" s="133">
        <f>L45</f>
        <v>0</v>
      </c>
    </row>
    <row r="46" spans="1:17">
      <c r="A46" s="55"/>
      <c r="B46" s="48" t="s">
        <v>155</v>
      </c>
      <c r="C46" s="49" t="s">
        <v>45</v>
      </c>
      <c r="D46" s="126">
        <v>0</v>
      </c>
      <c r="E46" s="126">
        <v>0</v>
      </c>
      <c r="F46" s="150"/>
      <c r="G46" s="66"/>
      <c r="H46" s="57"/>
      <c r="I46" s="49" t="s">
        <v>45</v>
      </c>
      <c r="J46" s="48" t="s">
        <v>155</v>
      </c>
      <c r="K46" s="80">
        <f t="shared" si="0"/>
        <v>0</v>
      </c>
      <c r="L46" s="80">
        <f t="shared" si="1"/>
        <v>0</v>
      </c>
      <c r="M46" s="150"/>
      <c r="N46" s="119" t="s">
        <v>380</v>
      </c>
      <c r="O46" s="19" t="s">
        <v>381</v>
      </c>
      <c r="P46" s="133">
        <f>K59</f>
        <v>0</v>
      </c>
      <c r="Q46" s="133">
        <f>L59</f>
        <v>0</v>
      </c>
    </row>
    <row r="47" spans="1:17">
      <c r="A47" s="47" t="s">
        <v>46</v>
      </c>
      <c r="B47" s="48" t="s">
        <v>112</v>
      </c>
      <c r="C47" s="49" t="s">
        <v>47</v>
      </c>
      <c r="D47" s="126">
        <v>724</v>
      </c>
      <c r="E47" s="126">
        <v>786</v>
      </c>
      <c r="F47" s="150"/>
      <c r="G47" s="60" t="s">
        <v>46</v>
      </c>
      <c r="H47" s="51" t="s">
        <v>156</v>
      </c>
      <c r="I47" s="49" t="s">
        <v>47</v>
      </c>
      <c r="J47" s="48" t="s">
        <v>112</v>
      </c>
      <c r="K47" s="80">
        <f t="shared" si="0"/>
        <v>724</v>
      </c>
      <c r="L47" s="80">
        <f t="shared" si="1"/>
        <v>786</v>
      </c>
      <c r="M47" s="150"/>
      <c r="N47" s="119" t="s">
        <v>382</v>
      </c>
      <c r="O47" s="19" t="s">
        <v>383</v>
      </c>
      <c r="P47" s="133">
        <f>K55</f>
        <v>0</v>
      </c>
      <c r="Q47" s="133">
        <f>L55</f>
        <v>0</v>
      </c>
    </row>
    <row r="48" spans="1:17">
      <c r="A48" s="52"/>
      <c r="B48" s="48" t="s">
        <v>157</v>
      </c>
      <c r="C48" s="49" t="s">
        <v>48</v>
      </c>
      <c r="D48" s="126">
        <v>489.76</v>
      </c>
      <c r="E48" s="126">
        <v>1064</v>
      </c>
      <c r="F48" s="150"/>
      <c r="G48" s="61"/>
      <c r="H48" s="54"/>
      <c r="I48" s="49" t="s">
        <v>48</v>
      </c>
      <c r="J48" s="48" t="s">
        <v>157</v>
      </c>
      <c r="K48" s="80">
        <f t="shared" si="0"/>
        <v>489.76</v>
      </c>
      <c r="L48" s="80">
        <f t="shared" si="1"/>
        <v>1064</v>
      </c>
      <c r="M48" s="150"/>
      <c r="N48" s="119" t="s">
        <v>384</v>
      </c>
      <c r="O48" s="19" t="s">
        <v>106</v>
      </c>
      <c r="P48" s="133">
        <f>K40</f>
        <v>0</v>
      </c>
      <c r="Q48" s="133">
        <f>L40</f>
        <v>0</v>
      </c>
    </row>
    <row r="49" spans="1:17">
      <c r="A49" s="67"/>
      <c r="B49" s="48" t="s">
        <v>158</v>
      </c>
      <c r="C49" s="49" t="s">
        <v>49</v>
      </c>
      <c r="D49" s="126">
        <v>0</v>
      </c>
      <c r="E49" s="126">
        <v>0</v>
      </c>
      <c r="F49" s="150"/>
      <c r="G49" s="66"/>
      <c r="H49" s="57"/>
      <c r="I49" s="49" t="s">
        <v>49</v>
      </c>
      <c r="J49" s="48" t="s">
        <v>158</v>
      </c>
      <c r="K49" s="80">
        <f t="shared" si="0"/>
        <v>0</v>
      </c>
      <c r="L49" s="80">
        <f t="shared" si="1"/>
        <v>0</v>
      </c>
      <c r="M49" s="150"/>
      <c r="N49" s="119" t="s">
        <v>385</v>
      </c>
      <c r="O49" s="19" t="s">
        <v>108</v>
      </c>
      <c r="P49" s="133">
        <f>K42</f>
        <v>1.91</v>
      </c>
      <c r="Q49" s="133">
        <f>L42</f>
        <v>0.65</v>
      </c>
    </row>
    <row r="50" spans="1:17">
      <c r="A50" s="68" t="s">
        <v>50</v>
      </c>
      <c r="B50" s="48" t="s">
        <v>113</v>
      </c>
      <c r="C50" s="49" t="s">
        <v>51</v>
      </c>
      <c r="D50" s="126">
        <v>0</v>
      </c>
      <c r="E50" s="126">
        <v>0</v>
      </c>
      <c r="F50" s="150"/>
      <c r="G50" s="60" t="s">
        <v>50</v>
      </c>
      <c r="H50" s="51" t="s">
        <v>159</v>
      </c>
      <c r="I50" s="49" t="s">
        <v>51</v>
      </c>
      <c r="J50" s="48" t="s">
        <v>113</v>
      </c>
      <c r="K50" s="80">
        <f t="shared" si="0"/>
        <v>0</v>
      </c>
      <c r="L50" s="80">
        <f t="shared" si="1"/>
        <v>0</v>
      </c>
      <c r="M50" s="150"/>
      <c r="N50" s="119" t="s">
        <v>386</v>
      </c>
      <c r="O50" s="19" t="s">
        <v>107</v>
      </c>
      <c r="P50" s="133">
        <f>K41</f>
        <v>40.549999999999997</v>
      </c>
      <c r="Q50" s="133">
        <f>L41</f>
        <v>23.93</v>
      </c>
    </row>
    <row r="51" spans="1:17">
      <c r="A51" s="69"/>
      <c r="B51" s="48" t="s">
        <v>114</v>
      </c>
      <c r="C51" s="49" t="s">
        <v>115</v>
      </c>
      <c r="D51" s="126">
        <v>2765.23</v>
      </c>
      <c r="E51" s="126">
        <v>2258.65</v>
      </c>
      <c r="F51" s="150"/>
      <c r="G51" s="61"/>
      <c r="H51" s="54"/>
      <c r="I51" s="49" t="s">
        <v>115</v>
      </c>
      <c r="J51" s="48" t="s">
        <v>114</v>
      </c>
      <c r="K51" s="80">
        <f t="shared" si="0"/>
        <v>2765.23</v>
      </c>
      <c r="L51" s="80">
        <f t="shared" si="1"/>
        <v>2258.65</v>
      </c>
      <c r="M51" s="150"/>
      <c r="N51" s="119" t="s">
        <v>387</v>
      </c>
      <c r="O51" s="19" t="s">
        <v>388</v>
      </c>
      <c r="P51" s="133">
        <f t="shared" ref="P51:Q52" si="7">K57</f>
        <v>0</v>
      </c>
      <c r="Q51" s="133">
        <f t="shared" si="7"/>
        <v>0</v>
      </c>
    </row>
    <row r="52" spans="1:17">
      <c r="A52" s="69"/>
      <c r="B52" s="48" t="s">
        <v>116</v>
      </c>
      <c r="C52" s="49" t="s">
        <v>52</v>
      </c>
      <c r="D52" s="126">
        <v>0</v>
      </c>
      <c r="E52" s="126">
        <v>0</v>
      </c>
      <c r="F52" s="150"/>
      <c r="G52" s="61"/>
      <c r="H52" s="54"/>
      <c r="I52" s="49" t="s">
        <v>52</v>
      </c>
      <c r="J52" s="48" t="s">
        <v>116</v>
      </c>
      <c r="K52" s="80">
        <f t="shared" si="0"/>
        <v>0</v>
      </c>
      <c r="L52" s="80">
        <f t="shared" si="1"/>
        <v>0</v>
      </c>
      <c r="M52" s="150"/>
      <c r="N52" s="119" t="s">
        <v>389</v>
      </c>
      <c r="O52" s="19" t="s">
        <v>390</v>
      </c>
      <c r="P52" s="133">
        <f t="shared" si="7"/>
        <v>0</v>
      </c>
      <c r="Q52" s="133">
        <f t="shared" si="7"/>
        <v>0</v>
      </c>
    </row>
    <row r="53" spans="1:17">
      <c r="A53" s="70"/>
      <c r="B53" s="48" t="s">
        <v>117</v>
      </c>
      <c r="C53" s="49" t="s">
        <v>118</v>
      </c>
      <c r="D53" s="126">
        <v>0</v>
      </c>
      <c r="E53" s="126">
        <v>0</v>
      </c>
      <c r="F53" s="150"/>
      <c r="G53" s="66"/>
      <c r="H53" s="57"/>
      <c r="I53" s="49" t="s">
        <v>118</v>
      </c>
      <c r="J53" s="48" t="s">
        <v>117</v>
      </c>
      <c r="K53" s="80">
        <f t="shared" si="0"/>
        <v>0</v>
      </c>
      <c r="L53" s="80">
        <f t="shared" si="1"/>
        <v>0</v>
      </c>
      <c r="M53" s="150"/>
      <c r="N53" s="119" t="s">
        <v>391</v>
      </c>
      <c r="O53" s="19" t="s">
        <v>392</v>
      </c>
      <c r="P53" s="133">
        <f>K56</f>
        <v>0</v>
      </c>
      <c r="Q53" s="133">
        <f>L56</f>
        <v>0</v>
      </c>
    </row>
    <row r="54" spans="1:17" ht="25.5">
      <c r="A54" s="52" t="s">
        <v>53</v>
      </c>
      <c r="B54" s="48" t="s">
        <v>160</v>
      </c>
      <c r="C54" s="49" t="s">
        <v>55</v>
      </c>
      <c r="D54" s="126">
        <v>6.2160000000000002</v>
      </c>
      <c r="E54" s="126">
        <v>19.062999999999999</v>
      </c>
      <c r="F54" s="150"/>
      <c r="G54" s="60" t="s">
        <v>53</v>
      </c>
      <c r="H54" s="51" t="s">
        <v>54</v>
      </c>
      <c r="I54" s="49" t="s">
        <v>55</v>
      </c>
      <c r="J54" s="48" t="s">
        <v>160</v>
      </c>
      <c r="K54" s="80">
        <f t="shared" ref="K54:K78" si="8">IF(ISNUMBER(D54),D54,"")</f>
        <v>6.2160000000000002</v>
      </c>
      <c r="L54" s="80">
        <f t="shared" ref="L54:L78" si="9">IF(ISNUMBER(E54),E54,"")</f>
        <v>19.062999999999999</v>
      </c>
      <c r="M54" s="71"/>
      <c r="N54" s="62"/>
      <c r="O54" s="63" t="s">
        <v>405</v>
      </c>
      <c r="P54" s="64"/>
      <c r="Q54" s="65"/>
    </row>
    <row r="55" spans="1:17">
      <c r="A55" s="52"/>
      <c r="B55" s="48" t="s">
        <v>161</v>
      </c>
      <c r="C55" s="49" t="s">
        <v>56</v>
      </c>
      <c r="D55" s="126">
        <v>0</v>
      </c>
      <c r="E55" s="126">
        <v>0</v>
      </c>
      <c r="F55" s="150"/>
      <c r="G55" s="61"/>
      <c r="H55" s="54"/>
      <c r="I55" s="49" t="s">
        <v>56</v>
      </c>
      <c r="J55" s="48" t="s">
        <v>161</v>
      </c>
      <c r="K55" s="80">
        <f t="shared" si="8"/>
        <v>0</v>
      </c>
      <c r="L55" s="80">
        <f t="shared" si="9"/>
        <v>0</v>
      </c>
      <c r="M55" s="150"/>
      <c r="N55" s="119" t="s">
        <v>393</v>
      </c>
      <c r="O55" s="19" t="s">
        <v>394</v>
      </c>
      <c r="P55" s="163"/>
      <c r="Q55" s="163"/>
    </row>
    <row r="56" spans="1:17">
      <c r="A56" s="52"/>
      <c r="B56" s="48" t="s">
        <v>162</v>
      </c>
      <c r="C56" s="49" t="s">
        <v>57</v>
      </c>
      <c r="D56" s="126">
        <v>0</v>
      </c>
      <c r="E56" s="126">
        <v>0</v>
      </c>
      <c r="F56" s="150"/>
      <c r="G56" s="61"/>
      <c r="H56" s="54"/>
      <c r="I56" s="49" t="s">
        <v>57</v>
      </c>
      <c r="J56" s="48" t="s">
        <v>162</v>
      </c>
      <c r="K56" s="80">
        <f t="shared" si="8"/>
        <v>0</v>
      </c>
      <c r="L56" s="80">
        <f t="shared" si="9"/>
        <v>0</v>
      </c>
      <c r="M56" s="150"/>
      <c r="N56" s="119" t="s">
        <v>395</v>
      </c>
      <c r="O56" s="19" t="s">
        <v>396</v>
      </c>
      <c r="P56" s="163"/>
      <c r="Q56" s="163"/>
    </row>
    <row r="57" spans="1:17">
      <c r="A57" s="52"/>
      <c r="B57" s="48" t="s">
        <v>119</v>
      </c>
      <c r="C57" s="49" t="s">
        <v>120</v>
      </c>
      <c r="D57" s="126">
        <v>0</v>
      </c>
      <c r="E57" s="126">
        <v>0</v>
      </c>
      <c r="F57" s="150"/>
      <c r="G57" s="61"/>
      <c r="H57" s="54"/>
      <c r="I57" s="49" t="s">
        <v>120</v>
      </c>
      <c r="J57" s="48" t="s">
        <v>119</v>
      </c>
      <c r="K57" s="80">
        <f t="shared" si="8"/>
        <v>0</v>
      </c>
      <c r="L57" s="80">
        <f t="shared" si="9"/>
        <v>0</v>
      </c>
      <c r="M57" s="150"/>
      <c r="N57" s="72"/>
      <c r="O57" s="73" t="s">
        <v>408</v>
      </c>
      <c r="P57" s="74"/>
      <c r="Q57" s="75"/>
    </row>
    <row r="58" spans="1:17">
      <c r="A58" s="52"/>
      <c r="B58" s="48" t="s">
        <v>121</v>
      </c>
      <c r="C58" s="49" t="s">
        <v>122</v>
      </c>
      <c r="D58" s="126">
        <v>0</v>
      </c>
      <c r="E58" s="126">
        <v>0</v>
      </c>
      <c r="F58" s="150"/>
      <c r="G58" s="61"/>
      <c r="H58" s="54"/>
      <c r="I58" s="49" t="s">
        <v>122</v>
      </c>
      <c r="J58" s="48" t="s">
        <v>121</v>
      </c>
      <c r="K58" s="80">
        <f t="shared" si="8"/>
        <v>0</v>
      </c>
      <c r="L58" s="80">
        <f t="shared" si="9"/>
        <v>0</v>
      </c>
      <c r="M58" s="150"/>
      <c r="N58" s="58">
        <v>1</v>
      </c>
      <c r="O58" s="76" t="s">
        <v>397</v>
      </c>
      <c r="P58" s="133">
        <f t="shared" ref="P58:Q58" si="10">SUM(K23:K24,K29:K30)</f>
        <v>0</v>
      </c>
      <c r="Q58" s="133">
        <f t="shared" si="10"/>
        <v>0</v>
      </c>
    </row>
    <row r="59" spans="1:17">
      <c r="A59" s="52"/>
      <c r="B59" s="48" t="s">
        <v>123</v>
      </c>
      <c r="C59" s="49" t="s">
        <v>124</v>
      </c>
      <c r="D59" s="126">
        <v>0</v>
      </c>
      <c r="E59" s="126">
        <v>0</v>
      </c>
      <c r="F59" s="150"/>
      <c r="G59" s="61"/>
      <c r="H59" s="54"/>
      <c r="I59" s="49" t="s">
        <v>124</v>
      </c>
      <c r="J59" s="48" t="s">
        <v>123</v>
      </c>
      <c r="K59" s="80">
        <f t="shared" si="8"/>
        <v>0</v>
      </c>
      <c r="L59" s="80">
        <f t="shared" si="9"/>
        <v>0</v>
      </c>
      <c r="M59" s="150"/>
      <c r="N59" s="58">
        <v>2</v>
      </c>
      <c r="O59" s="76" t="s">
        <v>398</v>
      </c>
      <c r="P59" s="133">
        <f t="shared" ref="P59:Q59" si="11">SUM(K31:K33,K36)</f>
        <v>0</v>
      </c>
      <c r="Q59" s="133">
        <f t="shared" si="11"/>
        <v>0.4</v>
      </c>
    </row>
    <row r="60" spans="1:17">
      <c r="A60" s="52"/>
      <c r="B60" s="48" t="s">
        <v>136</v>
      </c>
      <c r="C60" s="49" t="s">
        <v>58</v>
      </c>
      <c r="D60" s="126">
        <v>0</v>
      </c>
      <c r="E60" s="126">
        <v>0</v>
      </c>
      <c r="F60" s="150"/>
      <c r="G60" s="61"/>
      <c r="H60" s="54"/>
      <c r="I60" s="49" t="s">
        <v>58</v>
      </c>
      <c r="J60" s="48" t="s">
        <v>136</v>
      </c>
      <c r="K60" s="80">
        <f t="shared" si="8"/>
        <v>0</v>
      </c>
      <c r="L60" s="80">
        <f t="shared" si="9"/>
        <v>0</v>
      </c>
      <c r="M60" s="150"/>
      <c r="N60" s="58">
        <v>3</v>
      </c>
      <c r="O60" s="76" t="s">
        <v>323</v>
      </c>
      <c r="P60" s="133">
        <f t="shared" ref="P60:Q60" si="12">SUM(K60:K63)</f>
        <v>0</v>
      </c>
      <c r="Q60" s="133">
        <f t="shared" si="12"/>
        <v>0</v>
      </c>
    </row>
    <row r="61" spans="1:17">
      <c r="A61" s="52"/>
      <c r="B61" s="48" t="s">
        <v>125</v>
      </c>
      <c r="C61" s="49" t="s">
        <v>59</v>
      </c>
      <c r="D61" s="126">
        <v>0</v>
      </c>
      <c r="E61" s="126">
        <v>0</v>
      </c>
      <c r="F61" s="150"/>
      <c r="G61" s="61"/>
      <c r="H61" s="54"/>
      <c r="I61" s="49" t="s">
        <v>59</v>
      </c>
      <c r="J61" s="48" t="s">
        <v>125</v>
      </c>
      <c r="K61" s="80">
        <f t="shared" si="8"/>
        <v>0</v>
      </c>
      <c r="L61" s="80">
        <f t="shared" si="9"/>
        <v>0</v>
      </c>
      <c r="M61" s="150"/>
      <c r="N61" s="58">
        <v>4</v>
      </c>
      <c r="O61" s="76" t="s">
        <v>159</v>
      </c>
      <c r="P61" s="133">
        <f t="shared" ref="P61:Q61" si="13">SUM(K50:K53)</f>
        <v>2765.23</v>
      </c>
      <c r="Q61" s="133">
        <f t="shared" si="13"/>
        <v>2258.65</v>
      </c>
    </row>
    <row r="62" spans="1:17" ht="25.5">
      <c r="A62" s="52"/>
      <c r="B62" s="48" t="s">
        <v>163</v>
      </c>
      <c r="C62" s="49" t="s">
        <v>60</v>
      </c>
      <c r="D62" s="126">
        <v>0</v>
      </c>
      <c r="E62" s="126">
        <v>0</v>
      </c>
      <c r="F62" s="150"/>
      <c r="G62" s="61"/>
      <c r="H62" s="54"/>
      <c r="I62" s="49" t="s">
        <v>60</v>
      </c>
      <c r="J62" s="48" t="s">
        <v>163</v>
      </c>
      <c r="K62" s="80">
        <f t="shared" si="8"/>
        <v>0</v>
      </c>
      <c r="L62" s="80">
        <f t="shared" si="9"/>
        <v>0</v>
      </c>
      <c r="M62" s="150"/>
      <c r="N62" s="58">
        <v>5</v>
      </c>
      <c r="O62" s="48" t="s">
        <v>399</v>
      </c>
      <c r="P62" s="133">
        <f t="shared" ref="P62:Q63" si="14">K64</f>
        <v>1.5</v>
      </c>
      <c r="Q62" s="133">
        <f t="shared" si="14"/>
        <v>1.7</v>
      </c>
    </row>
    <row r="63" spans="1:17">
      <c r="A63" s="52"/>
      <c r="B63" s="48" t="s">
        <v>126</v>
      </c>
      <c r="C63" s="49" t="s">
        <v>61</v>
      </c>
      <c r="D63" s="126">
        <v>0</v>
      </c>
      <c r="E63" s="126">
        <v>0</v>
      </c>
      <c r="F63" s="150"/>
      <c r="G63" s="66"/>
      <c r="H63" s="57"/>
      <c r="I63" s="49" t="s">
        <v>61</v>
      </c>
      <c r="J63" s="48" t="s">
        <v>126</v>
      </c>
      <c r="K63" s="80">
        <f t="shared" si="8"/>
        <v>0</v>
      </c>
      <c r="L63" s="80">
        <f t="shared" si="9"/>
        <v>0</v>
      </c>
      <c r="M63" s="150"/>
      <c r="N63" s="58">
        <v>6</v>
      </c>
      <c r="O63" s="248" t="s">
        <v>468</v>
      </c>
      <c r="P63" s="133">
        <f t="shared" si="14"/>
        <v>1947</v>
      </c>
      <c r="Q63" s="133">
        <f t="shared" si="14"/>
        <v>439.63</v>
      </c>
    </row>
    <row r="64" spans="1:17">
      <c r="A64" s="47" t="s">
        <v>62</v>
      </c>
      <c r="B64" s="48" t="s">
        <v>165</v>
      </c>
      <c r="C64" s="49" t="s">
        <v>63</v>
      </c>
      <c r="D64" s="126">
        <v>1.5</v>
      </c>
      <c r="E64" s="126">
        <v>1.7</v>
      </c>
      <c r="F64" s="150"/>
      <c r="G64" s="60" t="s">
        <v>62</v>
      </c>
      <c r="H64" s="51" t="s">
        <v>164</v>
      </c>
      <c r="I64" s="49" t="s">
        <v>63</v>
      </c>
      <c r="J64" s="48" t="s">
        <v>165</v>
      </c>
      <c r="K64" s="80">
        <f t="shared" si="8"/>
        <v>1.5</v>
      </c>
      <c r="L64" s="80">
        <f t="shared" si="9"/>
        <v>1.7</v>
      </c>
      <c r="M64" s="151"/>
      <c r="N64" s="58">
        <v>7</v>
      </c>
      <c r="O64" s="248" t="s">
        <v>469</v>
      </c>
      <c r="P64" s="133">
        <f>SUM(K66,K69)</f>
        <v>0</v>
      </c>
      <c r="Q64" s="133">
        <f>SUM(L66,L69)</f>
        <v>0</v>
      </c>
    </row>
    <row r="65" spans="1:17">
      <c r="A65" s="52"/>
      <c r="B65" s="48" t="s">
        <v>127</v>
      </c>
      <c r="C65" s="49" t="s">
        <v>64</v>
      </c>
      <c r="D65" s="126">
        <v>1947</v>
      </c>
      <c r="E65" s="126">
        <v>439.63</v>
      </c>
      <c r="F65" s="150"/>
      <c r="G65" s="61"/>
      <c r="H65" s="54"/>
      <c r="I65" s="49" t="s">
        <v>64</v>
      </c>
      <c r="J65" s="48" t="s">
        <v>127</v>
      </c>
      <c r="K65" s="80">
        <f t="shared" si="8"/>
        <v>1947</v>
      </c>
      <c r="L65" s="80">
        <f t="shared" si="9"/>
        <v>439.63</v>
      </c>
      <c r="M65" s="151"/>
      <c r="N65" s="58">
        <v>8</v>
      </c>
      <c r="O65" s="76" t="s">
        <v>133</v>
      </c>
      <c r="P65" s="133">
        <f>K78</f>
        <v>2082.9</v>
      </c>
      <c r="Q65" s="133">
        <f>L78</f>
        <v>2108.9</v>
      </c>
    </row>
    <row r="66" spans="1:17">
      <c r="A66" s="52"/>
      <c r="B66" s="48" t="s">
        <v>166</v>
      </c>
      <c r="C66" s="49" t="s">
        <v>65</v>
      </c>
      <c r="D66" s="126">
        <v>0</v>
      </c>
      <c r="E66" s="126">
        <v>0</v>
      </c>
      <c r="F66" s="150"/>
      <c r="G66" s="61"/>
      <c r="H66" s="54"/>
      <c r="I66" s="49" t="s">
        <v>65</v>
      </c>
      <c r="J66" s="48" t="s">
        <v>166</v>
      </c>
      <c r="K66" s="80">
        <f t="shared" si="8"/>
        <v>0</v>
      </c>
      <c r="L66" s="80">
        <f t="shared" si="9"/>
        <v>0</v>
      </c>
      <c r="M66" s="151"/>
      <c r="N66" s="77"/>
    </row>
    <row r="67" spans="1:17">
      <c r="A67" s="52"/>
      <c r="B67" s="48" t="s">
        <v>173</v>
      </c>
      <c r="C67" s="49" t="s">
        <v>66</v>
      </c>
      <c r="D67" s="126">
        <v>0</v>
      </c>
      <c r="E67" s="126">
        <v>0</v>
      </c>
      <c r="F67" s="150"/>
      <c r="G67" s="61"/>
      <c r="H67" s="54"/>
      <c r="I67" s="49" t="s">
        <v>66</v>
      </c>
      <c r="J67" s="48" t="s">
        <v>173</v>
      </c>
      <c r="K67" s="80">
        <f t="shared" si="8"/>
        <v>0</v>
      </c>
      <c r="L67" s="80">
        <f t="shared" si="9"/>
        <v>0</v>
      </c>
      <c r="M67" s="151"/>
      <c r="N67" s="77"/>
    </row>
    <row r="68" spans="1:17">
      <c r="A68" s="52"/>
      <c r="B68" s="48" t="s">
        <v>174</v>
      </c>
      <c r="C68" s="49" t="s">
        <v>67</v>
      </c>
      <c r="D68" s="126">
        <v>0</v>
      </c>
      <c r="E68" s="126">
        <v>0</v>
      </c>
      <c r="F68" s="150"/>
      <c r="G68" s="61"/>
      <c r="H68" s="54"/>
      <c r="I68" s="49" t="s">
        <v>67</v>
      </c>
      <c r="J68" s="48" t="s">
        <v>174</v>
      </c>
      <c r="K68" s="80">
        <f t="shared" si="8"/>
        <v>0</v>
      </c>
      <c r="L68" s="80">
        <f t="shared" si="9"/>
        <v>0</v>
      </c>
      <c r="M68" s="151"/>
      <c r="N68" s="77"/>
    </row>
    <row r="69" spans="1:17">
      <c r="A69" s="52"/>
      <c r="B69" s="48" t="s">
        <v>175</v>
      </c>
      <c r="C69" s="49" t="s">
        <v>68</v>
      </c>
      <c r="D69" s="126">
        <v>0</v>
      </c>
      <c r="E69" s="126">
        <v>0</v>
      </c>
      <c r="F69" s="150"/>
      <c r="G69" s="61"/>
      <c r="H69" s="54"/>
      <c r="I69" s="49" t="s">
        <v>68</v>
      </c>
      <c r="J69" s="48" t="s">
        <v>175</v>
      </c>
      <c r="K69" s="80">
        <f t="shared" si="8"/>
        <v>0</v>
      </c>
      <c r="L69" s="80">
        <f t="shared" si="9"/>
        <v>0</v>
      </c>
      <c r="M69" s="151"/>
      <c r="N69" s="77"/>
    </row>
    <row r="70" spans="1:17">
      <c r="A70" s="52"/>
      <c r="B70" s="48" t="s">
        <v>167</v>
      </c>
      <c r="C70" s="49" t="s">
        <v>128</v>
      </c>
      <c r="D70" s="126">
        <v>0</v>
      </c>
      <c r="E70" s="126">
        <v>0</v>
      </c>
      <c r="F70" s="150"/>
      <c r="G70" s="61"/>
      <c r="H70" s="54"/>
      <c r="I70" s="49" t="s">
        <v>128</v>
      </c>
      <c r="J70" s="48" t="s">
        <v>167</v>
      </c>
      <c r="K70" s="114">
        <f t="shared" si="8"/>
        <v>0</v>
      </c>
      <c r="L70" s="114">
        <f t="shared" si="9"/>
        <v>0</v>
      </c>
      <c r="M70" s="151"/>
      <c r="N70" s="77"/>
    </row>
    <row r="71" spans="1:17">
      <c r="A71" s="52"/>
      <c r="B71" s="48" t="s">
        <v>129</v>
      </c>
      <c r="C71" s="49" t="s">
        <v>69</v>
      </c>
      <c r="D71" s="126">
        <v>0</v>
      </c>
      <c r="E71" s="126">
        <v>0</v>
      </c>
      <c r="F71" s="150"/>
      <c r="G71" s="61"/>
      <c r="H71" s="54"/>
      <c r="I71" s="49" t="s">
        <v>69</v>
      </c>
      <c r="J71" s="48" t="s">
        <v>129</v>
      </c>
      <c r="K71" s="80">
        <f t="shared" si="8"/>
        <v>0</v>
      </c>
      <c r="L71" s="80">
        <f t="shared" si="9"/>
        <v>0</v>
      </c>
      <c r="M71" s="151"/>
      <c r="N71" s="77"/>
    </row>
    <row r="72" spans="1:17">
      <c r="A72" s="55"/>
      <c r="B72" s="48" t="s">
        <v>168</v>
      </c>
      <c r="C72" s="49" t="s">
        <v>70</v>
      </c>
      <c r="D72" s="126">
        <v>0</v>
      </c>
      <c r="E72" s="126">
        <v>0</v>
      </c>
      <c r="F72" s="150"/>
      <c r="G72" s="66"/>
      <c r="H72" s="57"/>
      <c r="I72" s="49" t="s">
        <v>70</v>
      </c>
      <c r="J72" s="48" t="s">
        <v>168</v>
      </c>
      <c r="K72" s="80">
        <f t="shared" si="8"/>
        <v>0</v>
      </c>
      <c r="L72" s="80">
        <f t="shared" si="9"/>
        <v>0</v>
      </c>
      <c r="M72" s="151"/>
      <c r="N72" s="77"/>
    </row>
    <row r="73" spans="1:17">
      <c r="A73" s="52" t="s">
        <v>71</v>
      </c>
      <c r="B73" s="48" t="s">
        <v>170</v>
      </c>
      <c r="C73" s="49" t="s">
        <v>72</v>
      </c>
      <c r="D73" s="126">
        <v>81</v>
      </c>
      <c r="E73" s="126">
        <v>126.39</v>
      </c>
      <c r="F73" s="150"/>
      <c r="G73" s="60" t="s">
        <v>71</v>
      </c>
      <c r="H73" s="51" t="s">
        <v>169</v>
      </c>
      <c r="I73" s="49" t="s">
        <v>72</v>
      </c>
      <c r="J73" s="48" t="s">
        <v>170</v>
      </c>
      <c r="K73" s="80">
        <f t="shared" si="8"/>
        <v>81</v>
      </c>
      <c r="L73" s="80">
        <f t="shared" si="9"/>
        <v>126.39</v>
      </c>
      <c r="M73" s="151"/>
      <c r="N73" s="77"/>
    </row>
    <row r="74" spans="1:17">
      <c r="A74" s="52"/>
      <c r="B74" s="48" t="s">
        <v>130</v>
      </c>
      <c r="C74" s="49" t="s">
        <v>73</v>
      </c>
      <c r="D74" s="126">
        <v>330</v>
      </c>
      <c r="E74" s="126">
        <v>156.5</v>
      </c>
      <c r="F74" s="150"/>
      <c r="G74" s="61"/>
      <c r="H74" s="54"/>
      <c r="I74" s="49" t="s">
        <v>73</v>
      </c>
      <c r="J74" s="48" t="s">
        <v>130</v>
      </c>
      <c r="K74" s="80">
        <f t="shared" si="8"/>
        <v>330</v>
      </c>
      <c r="L74" s="80">
        <f t="shared" si="9"/>
        <v>156.5</v>
      </c>
      <c r="M74" s="151"/>
      <c r="N74" s="77"/>
    </row>
    <row r="75" spans="1:17">
      <c r="A75" s="52"/>
      <c r="B75" s="48" t="s">
        <v>131</v>
      </c>
      <c r="C75" s="49" t="s">
        <v>74</v>
      </c>
      <c r="D75" s="126">
        <v>0</v>
      </c>
      <c r="E75" s="126">
        <v>0</v>
      </c>
      <c r="F75" s="150"/>
      <c r="G75" s="66"/>
      <c r="H75" s="57"/>
      <c r="I75" s="49" t="s">
        <v>74</v>
      </c>
      <c r="J75" s="48" t="s">
        <v>131</v>
      </c>
      <c r="K75" s="80">
        <f t="shared" si="8"/>
        <v>0</v>
      </c>
      <c r="L75" s="80">
        <f t="shared" si="9"/>
        <v>0</v>
      </c>
      <c r="M75" s="151"/>
      <c r="N75" s="77"/>
    </row>
    <row r="76" spans="1:17" ht="38.25">
      <c r="A76" s="47" t="s">
        <v>75</v>
      </c>
      <c r="B76" s="48" t="s">
        <v>171</v>
      </c>
      <c r="C76" s="49" t="s">
        <v>77</v>
      </c>
      <c r="D76" s="126">
        <v>18.87</v>
      </c>
      <c r="E76" s="126">
        <v>30.52</v>
      </c>
      <c r="F76" s="150"/>
      <c r="G76" s="60" t="s">
        <v>75</v>
      </c>
      <c r="H76" s="51" t="s">
        <v>76</v>
      </c>
      <c r="I76" s="49" t="s">
        <v>77</v>
      </c>
      <c r="J76" s="48" t="s">
        <v>171</v>
      </c>
      <c r="K76" s="80">
        <f t="shared" si="8"/>
        <v>18.87</v>
      </c>
      <c r="L76" s="80">
        <f t="shared" si="9"/>
        <v>30.52</v>
      </c>
      <c r="M76" s="151"/>
      <c r="N76" s="77"/>
    </row>
    <row r="77" spans="1:17">
      <c r="A77" s="52"/>
      <c r="B77" s="48" t="s">
        <v>132</v>
      </c>
      <c r="C77" s="49" t="s">
        <v>78</v>
      </c>
      <c r="D77" s="126">
        <v>13</v>
      </c>
      <c r="E77" s="126">
        <v>7.44</v>
      </c>
      <c r="F77" s="150"/>
      <c r="G77" s="61"/>
      <c r="H77" s="54"/>
      <c r="I77" s="49" t="s">
        <v>78</v>
      </c>
      <c r="J77" s="48" t="s">
        <v>132</v>
      </c>
      <c r="K77" s="80">
        <f t="shared" si="8"/>
        <v>13</v>
      </c>
      <c r="L77" s="80">
        <f t="shared" si="9"/>
        <v>7.44</v>
      </c>
      <c r="M77" s="151"/>
      <c r="N77" s="77"/>
    </row>
    <row r="78" spans="1:17">
      <c r="A78" s="52"/>
      <c r="B78" s="48" t="s">
        <v>133</v>
      </c>
      <c r="C78" s="49" t="s">
        <v>134</v>
      </c>
      <c r="D78" s="126">
        <v>2082.9</v>
      </c>
      <c r="E78" s="126">
        <v>2108.9</v>
      </c>
      <c r="F78" s="150"/>
      <c r="G78" s="61"/>
      <c r="H78" s="54"/>
      <c r="I78" s="49" t="s">
        <v>134</v>
      </c>
      <c r="J78" s="48" t="s">
        <v>133</v>
      </c>
      <c r="K78" s="114">
        <f t="shared" si="8"/>
        <v>2082.9</v>
      </c>
      <c r="L78" s="114">
        <f t="shared" si="9"/>
        <v>2108.9</v>
      </c>
      <c r="M78" s="151"/>
      <c r="N78" s="77"/>
    </row>
    <row r="79" spans="1:17">
      <c r="A79" s="55"/>
      <c r="B79" s="48" t="s">
        <v>135</v>
      </c>
      <c r="C79" s="49" t="s">
        <v>172</v>
      </c>
      <c r="D79" s="126">
        <v>0</v>
      </c>
      <c r="E79" s="126">
        <v>0</v>
      </c>
      <c r="F79" s="150"/>
      <c r="G79" s="66"/>
      <c r="H79" s="57"/>
      <c r="I79" s="49" t="s">
        <v>172</v>
      </c>
      <c r="J79" s="48" t="s">
        <v>135</v>
      </c>
      <c r="K79" s="80">
        <f t="shared" ref="K79" si="15">IF(ISNUMBER(D79),D79,"")</f>
        <v>0</v>
      </c>
      <c r="L79" s="80">
        <f t="shared" ref="L79" si="16">IF(ISNUMBER(E79),E79,"")</f>
        <v>0</v>
      </c>
      <c r="M79" s="151"/>
      <c r="N79" s="77"/>
    </row>
    <row r="80" spans="1:17">
      <c r="D80" s="127"/>
      <c r="E80" s="127"/>
      <c r="F80" s="127"/>
      <c r="M80" s="151"/>
      <c r="N80" s="77"/>
    </row>
    <row r="81" spans="2:14">
      <c r="D81" s="127"/>
      <c r="E81" s="127"/>
      <c r="F81" s="127"/>
      <c r="M81" s="127"/>
      <c r="N81" s="77"/>
    </row>
    <row r="82" spans="2:14">
      <c r="D82" s="226"/>
      <c r="E82" s="127"/>
      <c r="F82" s="127"/>
      <c r="M82" s="127"/>
      <c r="N82" s="77"/>
    </row>
    <row r="83" spans="2:14">
      <c r="D83" s="127"/>
      <c r="E83" s="127"/>
      <c r="F83" s="127"/>
      <c r="M83" s="127"/>
    </row>
    <row r="84" spans="2:14">
      <c r="D84" s="127"/>
      <c r="E84" s="127"/>
      <c r="F84" s="127"/>
      <c r="M84" s="127"/>
    </row>
    <row r="85" spans="2:14" ht="15" customHeight="1">
      <c r="D85" s="78"/>
      <c r="E85" s="78"/>
      <c r="F85" s="78"/>
      <c r="M85" s="127"/>
    </row>
    <row r="86" spans="2:14" ht="15">
      <c r="B86" s="79"/>
      <c r="D86" s="78"/>
      <c r="E86" s="78"/>
      <c r="F86" s="78"/>
      <c r="M86" s="78"/>
    </row>
    <row r="87" spans="2:14" ht="15">
      <c r="B87" s="79"/>
      <c r="D87" s="78"/>
      <c r="E87" s="78"/>
      <c r="F87" s="78"/>
      <c r="M87" s="78"/>
    </row>
    <row r="88" spans="2:14" ht="15">
      <c r="D88" s="78"/>
      <c r="E88" s="78"/>
      <c r="F88" s="78"/>
      <c r="M88" s="78"/>
    </row>
    <row r="89" spans="2:14" ht="15">
      <c r="D89" s="78"/>
      <c r="E89" s="78"/>
      <c r="F89" s="78"/>
      <c r="M89" s="78"/>
    </row>
    <row r="90" spans="2:14" ht="15">
      <c r="D90" s="78"/>
      <c r="E90" s="78"/>
      <c r="F90" s="78"/>
      <c r="M90" s="78"/>
    </row>
    <row r="91" spans="2:14" ht="15">
      <c r="D91" s="78"/>
      <c r="E91" s="78"/>
      <c r="F91" s="78"/>
      <c r="M91" s="78"/>
    </row>
    <row r="92" spans="2:14" ht="15">
      <c r="D92" s="78"/>
      <c r="E92" s="78"/>
      <c r="F92" s="78"/>
      <c r="M92" s="78"/>
    </row>
    <row r="93" spans="2:14" ht="15">
      <c r="D93" s="78"/>
      <c r="E93" s="78"/>
      <c r="F93" s="78"/>
      <c r="M93" s="78"/>
    </row>
    <row r="94" spans="2:14" ht="15" customHeight="1">
      <c r="M94" s="78"/>
    </row>
  </sheetData>
  <mergeCells count="6">
    <mergeCell ref="N6:O6"/>
    <mergeCell ref="P6:Q6"/>
    <mergeCell ref="H38:H39"/>
    <mergeCell ref="D6:E6"/>
    <mergeCell ref="G6:J6"/>
    <mergeCell ref="K6:L6"/>
  </mergeCells>
  <conditionalFormatting sqref="D8:E79">
    <cfRule type="expression" dxfId="62" priority="1">
      <formula>ISNUMBER(D8)</formula>
    </cfRule>
  </conditionalFormatting>
  <pageMargins left="0.25" right="0.25" top="0.75" bottom="0.75" header="0.3" footer="0.3"/>
  <pageSetup paperSize="9" scale="80" fitToWidth="0" orientation="portrait" r:id="rId1"/>
</worksheet>
</file>

<file path=xl/worksheets/sheet3.xml><?xml version="1.0" encoding="utf-8"?>
<worksheet xmlns="http://schemas.openxmlformats.org/spreadsheetml/2006/main" xmlns:r="http://schemas.openxmlformats.org/officeDocument/2006/relationships">
  <sheetPr>
    <tabColor rgb="FFFF0000"/>
    <pageSetUpPr fitToPage="1"/>
  </sheetPr>
  <dimension ref="A1:V94"/>
  <sheetViews>
    <sheetView zoomScale="70" zoomScaleNormal="70" workbookViewId="0">
      <pane ySplit="7" topLeftCell="A8" activePane="bottomLeft" state="frozen"/>
      <selection pane="bottomLeft" activeCell="A8" sqref="A8"/>
    </sheetView>
  </sheetViews>
  <sheetFormatPr defaultRowHeight="12.75"/>
  <cols>
    <col min="1" max="1" width="5.7109375" style="467" customWidth="1"/>
    <col min="2" max="2" width="97.5703125" style="467" customWidth="1"/>
    <col min="3" max="3" width="11.28515625" style="467" customWidth="1"/>
    <col min="4" max="4" width="12.28515625" style="467" customWidth="1"/>
    <col min="5" max="5" width="12.7109375" style="494" customWidth="1"/>
    <col min="6" max="6" width="7" style="494" customWidth="1"/>
    <col min="7" max="7" width="9.140625" style="467"/>
    <col min="8" max="8" width="17.85546875" style="467" customWidth="1"/>
    <col min="9" max="9" width="9.140625" style="467"/>
    <col min="10" max="10" width="91.5703125" style="467" customWidth="1"/>
    <col min="11" max="11" width="14.28515625" style="467" customWidth="1"/>
    <col min="12" max="12" width="12.28515625" style="467" customWidth="1"/>
    <col min="13" max="13" width="4.7109375" style="90" customWidth="1"/>
    <col min="14" max="14" width="9.7109375" style="467" bestFit="1" customWidth="1"/>
    <col min="15" max="15" width="68.5703125" style="467" bestFit="1" customWidth="1"/>
    <col min="16" max="16" width="13.42578125" style="467" customWidth="1"/>
    <col min="17" max="17" width="12.7109375" style="467" customWidth="1"/>
    <col min="18" max="16384" width="9.140625" style="467"/>
  </cols>
  <sheetData>
    <row r="1" spans="1:22" s="449" customFormat="1" ht="21">
      <c r="A1" s="448" t="s">
        <v>714</v>
      </c>
      <c r="E1" s="450"/>
      <c r="F1" s="450"/>
      <c r="G1" s="450"/>
      <c r="H1" s="450"/>
      <c r="I1" s="450"/>
      <c r="J1" s="451"/>
      <c r="K1" s="452"/>
      <c r="L1" s="452"/>
      <c r="M1" s="452"/>
      <c r="N1" s="451"/>
      <c r="O1" s="452"/>
      <c r="T1" s="450"/>
      <c r="U1" s="453"/>
      <c r="V1" s="453"/>
    </row>
    <row r="2" spans="1:22" s="455" customFormat="1" ht="18.75">
      <c r="A2" s="454" t="s">
        <v>672</v>
      </c>
      <c r="C2" s="219" t="s">
        <v>400</v>
      </c>
      <c r="D2" s="179"/>
      <c r="E2" s="177" t="s">
        <v>444</v>
      </c>
      <c r="H2" s="89"/>
      <c r="I2" s="90"/>
      <c r="J2" s="456"/>
      <c r="K2" s="89"/>
      <c r="M2" s="90"/>
      <c r="N2" s="456"/>
      <c r="P2" s="91"/>
      <c r="T2" s="90"/>
    </row>
    <row r="3" spans="1:22" s="455" customFormat="1" ht="18.75">
      <c r="B3" s="336"/>
      <c r="C3" s="200"/>
      <c r="D3" s="198"/>
      <c r="E3" s="177" t="s">
        <v>445</v>
      </c>
      <c r="I3" s="90"/>
      <c r="J3" s="456"/>
      <c r="M3" s="90"/>
      <c r="N3" s="456"/>
      <c r="T3" s="90"/>
    </row>
    <row r="4" spans="1:22" s="455" customFormat="1" ht="15.75">
      <c r="B4" s="88"/>
      <c r="C4" s="200"/>
      <c r="D4" s="196"/>
      <c r="E4" s="177" t="s">
        <v>679</v>
      </c>
      <c r="I4" s="90"/>
      <c r="J4" s="456"/>
      <c r="M4" s="90"/>
      <c r="N4" s="456"/>
      <c r="P4" s="92"/>
      <c r="T4" s="90"/>
    </row>
    <row r="5" spans="1:22" s="455" customFormat="1" ht="15">
      <c r="B5" s="457"/>
      <c r="C5" s="200"/>
      <c r="D5" s="217"/>
      <c r="E5" s="171" t="s">
        <v>611</v>
      </c>
      <c r="I5" s="90"/>
      <c r="J5" s="456"/>
      <c r="M5" s="90"/>
      <c r="N5" s="456"/>
      <c r="P5" s="92"/>
      <c r="T5" s="90"/>
    </row>
    <row r="6" spans="1:22" s="88" customFormat="1" ht="18.75" customHeight="1">
      <c r="A6" s="827" t="s">
        <v>673</v>
      </c>
      <c r="B6" s="828"/>
      <c r="C6" s="829"/>
      <c r="D6" s="828"/>
      <c r="E6" s="829"/>
      <c r="F6" s="97"/>
      <c r="G6" s="818" t="s">
        <v>402</v>
      </c>
      <c r="H6" s="819"/>
      <c r="I6" s="819"/>
      <c r="J6" s="811"/>
      <c r="K6" s="820" t="s">
        <v>401</v>
      </c>
      <c r="L6" s="821"/>
      <c r="M6" s="97"/>
      <c r="N6" s="810" t="s">
        <v>403</v>
      </c>
      <c r="O6" s="811"/>
      <c r="P6" s="812" t="s">
        <v>401</v>
      </c>
      <c r="Q6" s="813"/>
    </row>
    <row r="7" spans="1:22" s="461" customFormat="1" ht="24.75" customHeight="1">
      <c r="A7" s="458" t="s">
        <v>0</v>
      </c>
      <c r="B7" s="459" t="s">
        <v>1</v>
      </c>
      <c r="C7" s="458" t="s">
        <v>2</v>
      </c>
      <c r="D7" s="460" t="s">
        <v>680</v>
      </c>
      <c r="E7" s="460" t="s">
        <v>681</v>
      </c>
      <c r="F7" s="103"/>
      <c r="G7" s="747" t="s">
        <v>859</v>
      </c>
      <c r="H7" s="43" t="s">
        <v>409</v>
      </c>
      <c r="I7" s="747" t="s">
        <v>860</v>
      </c>
      <c r="J7" s="43" t="s">
        <v>404</v>
      </c>
      <c r="K7" s="42" t="s">
        <v>680</v>
      </c>
      <c r="L7" s="42" t="s">
        <v>681</v>
      </c>
      <c r="M7" s="103"/>
      <c r="N7" s="44" t="s">
        <v>0</v>
      </c>
      <c r="O7" s="45" t="s">
        <v>406</v>
      </c>
      <c r="P7" s="46" t="s">
        <v>680</v>
      </c>
      <c r="Q7" s="46" t="s">
        <v>681</v>
      </c>
    </row>
    <row r="8" spans="1:22" ht="15">
      <c r="A8" s="462" t="s">
        <v>3</v>
      </c>
      <c r="B8" s="463" t="s">
        <v>79</v>
      </c>
      <c r="C8" s="464" t="s">
        <v>4</v>
      </c>
      <c r="D8" s="126">
        <v>107.29600000000002</v>
      </c>
      <c r="E8" s="126">
        <v>3.16</v>
      </c>
      <c r="F8" s="343"/>
      <c r="G8" s="462" t="s">
        <v>3</v>
      </c>
      <c r="H8" s="822" t="s">
        <v>137</v>
      </c>
      <c r="I8" s="465" t="s">
        <v>4</v>
      </c>
      <c r="J8" s="463" t="s">
        <v>79</v>
      </c>
      <c r="K8" s="500">
        <f t="shared" ref="K8" si="0">IF(ISNUMBER(D8),D8,"")</f>
        <v>107.29600000000002</v>
      </c>
      <c r="L8" s="500">
        <f t="shared" ref="L8" si="1">IF(ISNUMBER(E8),E8,"")</f>
        <v>3.16</v>
      </c>
      <c r="M8" s="343"/>
      <c r="N8" s="466" t="s">
        <v>324</v>
      </c>
      <c r="O8" s="401" t="s">
        <v>325</v>
      </c>
      <c r="P8" s="122">
        <f>K73</f>
        <v>165.4323</v>
      </c>
      <c r="Q8" s="122">
        <f>L73</f>
        <v>54.491500000000073</v>
      </c>
    </row>
    <row r="9" spans="1:22" ht="15">
      <c r="A9" s="468"/>
      <c r="B9" s="463" t="s">
        <v>139</v>
      </c>
      <c r="C9" s="464" t="s">
        <v>138</v>
      </c>
      <c r="D9" s="126">
        <v>0</v>
      </c>
      <c r="E9" s="126">
        <v>0</v>
      </c>
      <c r="F9" s="343"/>
      <c r="G9" s="468"/>
      <c r="H9" s="823"/>
      <c r="I9" s="465" t="s">
        <v>138</v>
      </c>
      <c r="J9" s="463" t="s">
        <v>139</v>
      </c>
      <c r="K9" s="500">
        <f t="shared" ref="K9:K51" si="2">IF(ISNUMBER(D9),D9,"")</f>
        <v>0</v>
      </c>
      <c r="L9" s="500">
        <f t="shared" ref="L9:L51" si="3">IF(ISNUMBER(E9),E9,"")</f>
        <v>0</v>
      </c>
      <c r="M9" s="343"/>
      <c r="N9" s="466" t="s">
        <v>326</v>
      </c>
      <c r="O9" s="401" t="s">
        <v>327</v>
      </c>
      <c r="P9" s="122">
        <f>K75</f>
        <v>182.66380000000004</v>
      </c>
      <c r="Q9" s="122">
        <f>L75</f>
        <v>188.49996000000004</v>
      </c>
    </row>
    <row r="10" spans="1:22" ht="15">
      <c r="A10" s="469"/>
      <c r="B10" s="463" t="s">
        <v>80</v>
      </c>
      <c r="C10" s="464" t="s">
        <v>81</v>
      </c>
      <c r="D10" s="126">
        <v>0.90449999999999997</v>
      </c>
      <c r="E10" s="126">
        <v>0.11499999999999999</v>
      </c>
      <c r="F10" s="343"/>
      <c r="G10" s="469"/>
      <c r="H10" s="824"/>
      <c r="I10" s="465" t="s">
        <v>81</v>
      </c>
      <c r="J10" s="463" t="s">
        <v>80</v>
      </c>
      <c r="K10" s="500">
        <f t="shared" si="2"/>
        <v>0.90449999999999997</v>
      </c>
      <c r="L10" s="500">
        <f t="shared" si="3"/>
        <v>0.11499999999999999</v>
      </c>
      <c r="M10" s="343"/>
      <c r="N10" s="466" t="s">
        <v>328</v>
      </c>
      <c r="O10" s="401" t="s">
        <v>130</v>
      </c>
      <c r="P10" s="122">
        <f>K74</f>
        <v>40.702000000000005</v>
      </c>
      <c r="Q10" s="122">
        <f>L74</f>
        <v>49.72399999999999</v>
      </c>
    </row>
    <row r="11" spans="1:22" ht="15">
      <c r="A11" s="470" t="s">
        <v>5</v>
      </c>
      <c r="B11" s="463" t="s">
        <v>82</v>
      </c>
      <c r="C11" s="464" t="s">
        <v>7</v>
      </c>
      <c r="D11" s="126">
        <v>5978.9361260000087</v>
      </c>
      <c r="E11" s="126">
        <v>8543.0020150000018</v>
      </c>
      <c r="F11" s="343"/>
      <c r="G11" s="470" t="s">
        <v>5</v>
      </c>
      <c r="H11" s="471" t="s">
        <v>6</v>
      </c>
      <c r="I11" s="465" t="s">
        <v>7</v>
      </c>
      <c r="J11" s="463" t="s">
        <v>82</v>
      </c>
      <c r="K11" s="500">
        <f t="shared" si="2"/>
        <v>5978.9361260000087</v>
      </c>
      <c r="L11" s="500">
        <f t="shared" si="3"/>
        <v>8543.0020150000018</v>
      </c>
      <c r="M11" s="343"/>
      <c r="N11" s="466" t="s">
        <v>329</v>
      </c>
      <c r="O11" s="401" t="s">
        <v>330</v>
      </c>
      <c r="P11" s="122">
        <f>K44</f>
        <v>110.86030000000002</v>
      </c>
      <c r="Q11" s="123">
        <f>L44</f>
        <v>347.69738599999999</v>
      </c>
    </row>
    <row r="12" spans="1:22" ht="15">
      <c r="A12" s="469" t="s">
        <v>8</v>
      </c>
      <c r="B12" s="463" t="s">
        <v>83</v>
      </c>
      <c r="C12" s="472" t="s">
        <v>9</v>
      </c>
      <c r="D12" s="126">
        <v>1506.2928000000006</v>
      </c>
      <c r="E12" s="126">
        <v>2658.3323200000009</v>
      </c>
      <c r="F12" s="343"/>
      <c r="G12" s="470" t="s">
        <v>8</v>
      </c>
      <c r="H12" s="471" t="s">
        <v>140</v>
      </c>
      <c r="I12" s="465" t="s">
        <v>9</v>
      </c>
      <c r="J12" s="463" t="s">
        <v>83</v>
      </c>
      <c r="K12" s="500">
        <f t="shared" si="2"/>
        <v>1506.2928000000006</v>
      </c>
      <c r="L12" s="500">
        <f t="shared" si="3"/>
        <v>2658.3323200000009</v>
      </c>
      <c r="M12" s="343"/>
      <c r="N12" s="466" t="s">
        <v>331</v>
      </c>
      <c r="O12" s="401" t="s">
        <v>332</v>
      </c>
      <c r="P12" s="122">
        <f>K46</f>
        <v>6.28</v>
      </c>
      <c r="Q12" s="123">
        <f>L46</f>
        <v>2.52</v>
      </c>
    </row>
    <row r="13" spans="1:22" ht="15">
      <c r="A13" s="462" t="s">
        <v>10</v>
      </c>
      <c r="B13" s="473" t="s">
        <v>476</v>
      </c>
      <c r="C13" s="474" t="s">
        <v>12</v>
      </c>
      <c r="D13" s="126">
        <v>0</v>
      </c>
      <c r="E13" s="126">
        <v>0</v>
      </c>
      <c r="F13" s="343"/>
      <c r="G13" s="462" t="s">
        <v>10</v>
      </c>
      <c r="H13" s="822" t="s">
        <v>11</v>
      </c>
      <c r="I13" s="465" t="s">
        <v>12</v>
      </c>
      <c r="J13" s="463" t="s">
        <v>84</v>
      </c>
      <c r="K13" s="500">
        <f t="shared" si="2"/>
        <v>0</v>
      </c>
      <c r="L13" s="500">
        <f t="shared" si="3"/>
        <v>0</v>
      </c>
      <c r="M13" s="343"/>
      <c r="N13" s="466" t="s">
        <v>333</v>
      </c>
      <c r="O13" s="401" t="s">
        <v>334</v>
      </c>
      <c r="P13" s="122">
        <f>K43</f>
        <v>381.70900000000017</v>
      </c>
      <c r="Q13" s="123">
        <f>L43</f>
        <v>379.0234999999999</v>
      </c>
    </row>
    <row r="14" spans="1:22" ht="15">
      <c r="A14" s="468"/>
      <c r="B14" s="473" t="s">
        <v>477</v>
      </c>
      <c r="C14" s="474" t="s">
        <v>13</v>
      </c>
      <c r="D14" s="126">
        <v>1286.4969499999997</v>
      </c>
      <c r="E14" s="126">
        <v>4887.6534999999967</v>
      </c>
      <c r="F14" s="343"/>
      <c r="G14" s="468"/>
      <c r="H14" s="823"/>
      <c r="I14" s="465" t="s">
        <v>13</v>
      </c>
      <c r="J14" s="463" t="s">
        <v>85</v>
      </c>
      <c r="K14" s="500">
        <f t="shared" si="2"/>
        <v>1286.4969499999997</v>
      </c>
      <c r="L14" s="500">
        <f t="shared" si="3"/>
        <v>4887.6534999999967</v>
      </c>
      <c r="M14" s="343"/>
      <c r="N14" s="466" t="s">
        <v>335</v>
      </c>
      <c r="O14" s="401" t="s">
        <v>336</v>
      </c>
      <c r="P14" s="122">
        <f>K9</f>
        <v>0</v>
      </c>
      <c r="Q14" s="123">
        <f>L9</f>
        <v>0</v>
      </c>
    </row>
    <row r="15" spans="1:22" ht="15">
      <c r="A15" s="468"/>
      <c r="B15" s="473" t="s">
        <v>478</v>
      </c>
      <c r="C15" s="472" t="s">
        <v>14</v>
      </c>
      <c r="D15" s="126">
        <v>90.266303999999963</v>
      </c>
      <c r="E15" s="126">
        <v>1593.5884999999978</v>
      </c>
      <c r="F15" s="343"/>
      <c r="G15" s="468"/>
      <c r="H15" s="823"/>
      <c r="I15" s="465" t="s">
        <v>14</v>
      </c>
      <c r="J15" s="463" t="s">
        <v>86</v>
      </c>
      <c r="K15" s="500">
        <f t="shared" si="2"/>
        <v>90.266303999999963</v>
      </c>
      <c r="L15" s="500">
        <f t="shared" si="3"/>
        <v>1593.5884999999978</v>
      </c>
      <c r="M15" s="343"/>
      <c r="N15" s="466" t="s">
        <v>337</v>
      </c>
      <c r="O15" s="401" t="s">
        <v>322</v>
      </c>
      <c r="P15" s="122">
        <f t="shared" ref="P15:Q16" si="4">K47</f>
        <v>15183.534470000024</v>
      </c>
      <c r="Q15" s="123">
        <f t="shared" si="4"/>
        <v>14265.096328000029</v>
      </c>
    </row>
    <row r="16" spans="1:22" ht="15">
      <c r="A16" s="468"/>
      <c r="B16" s="473" t="s">
        <v>481</v>
      </c>
      <c r="C16" s="472" t="s">
        <v>15</v>
      </c>
      <c r="D16" s="126">
        <v>0</v>
      </c>
      <c r="E16" s="126">
        <v>5.0000000000000001E-3</v>
      </c>
      <c r="F16" s="343"/>
      <c r="G16" s="468"/>
      <c r="H16" s="823"/>
      <c r="I16" s="465" t="s">
        <v>15</v>
      </c>
      <c r="J16" s="463" t="s">
        <v>87</v>
      </c>
      <c r="K16" s="500">
        <f t="shared" si="2"/>
        <v>0</v>
      </c>
      <c r="L16" s="500">
        <f t="shared" si="3"/>
        <v>5.0000000000000001E-3</v>
      </c>
      <c r="M16" s="343"/>
      <c r="N16" s="466" t="s">
        <v>338</v>
      </c>
      <c r="O16" s="401" t="s">
        <v>339</v>
      </c>
      <c r="P16" s="122">
        <f t="shared" si="4"/>
        <v>48258.045390000181</v>
      </c>
      <c r="Q16" s="123">
        <f t="shared" si="4"/>
        <v>49222.57785800015</v>
      </c>
    </row>
    <row r="17" spans="1:17" ht="15">
      <c r="A17" s="468"/>
      <c r="B17" s="473" t="s">
        <v>482</v>
      </c>
      <c r="C17" s="472" t="s">
        <v>16</v>
      </c>
      <c r="D17" s="126">
        <v>273.74770000000007</v>
      </c>
      <c r="E17" s="126">
        <v>337.88460000000003</v>
      </c>
      <c r="F17" s="343"/>
      <c r="G17" s="468"/>
      <c r="H17" s="823"/>
      <c r="I17" s="465" t="s">
        <v>16</v>
      </c>
      <c r="J17" s="463" t="s">
        <v>88</v>
      </c>
      <c r="K17" s="500">
        <f t="shared" si="2"/>
        <v>273.74770000000007</v>
      </c>
      <c r="L17" s="500">
        <f t="shared" si="3"/>
        <v>337.88460000000003</v>
      </c>
      <c r="M17" s="343"/>
      <c r="N17" s="466" t="s">
        <v>340</v>
      </c>
      <c r="O17" s="401" t="s">
        <v>341</v>
      </c>
      <c r="P17" s="122">
        <f>K54</f>
        <v>1036.9860000000003</v>
      </c>
      <c r="Q17" s="123">
        <f>L54</f>
        <v>991.26150000000007</v>
      </c>
    </row>
    <row r="18" spans="1:17" ht="15">
      <c r="A18" s="468"/>
      <c r="B18" s="475" t="s">
        <v>485</v>
      </c>
      <c r="C18" s="472" t="s">
        <v>17</v>
      </c>
      <c r="D18" s="126">
        <v>1.9994999999999998</v>
      </c>
      <c r="E18" s="126">
        <v>6.2839999999999989</v>
      </c>
      <c r="F18" s="343"/>
      <c r="G18" s="468"/>
      <c r="H18" s="823"/>
      <c r="I18" s="465" t="s">
        <v>17</v>
      </c>
      <c r="J18" s="463" t="s">
        <v>89</v>
      </c>
      <c r="K18" s="500">
        <f t="shared" si="2"/>
        <v>1.9994999999999998</v>
      </c>
      <c r="L18" s="500">
        <f t="shared" si="3"/>
        <v>6.2839999999999989</v>
      </c>
      <c r="M18" s="343"/>
      <c r="N18" s="466" t="s">
        <v>342</v>
      </c>
      <c r="O18" s="401" t="s">
        <v>343</v>
      </c>
      <c r="P18" s="122">
        <f>K49</f>
        <v>638.46699999999998</v>
      </c>
      <c r="Q18" s="123">
        <f>L49</f>
        <v>7973.1199999999981</v>
      </c>
    </row>
    <row r="19" spans="1:17" ht="15">
      <c r="A19" s="468"/>
      <c r="B19" s="475" t="s">
        <v>486</v>
      </c>
      <c r="C19" s="472" t="s">
        <v>18</v>
      </c>
      <c r="D19" s="126">
        <v>0</v>
      </c>
      <c r="E19" s="126">
        <v>0</v>
      </c>
      <c r="F19" s="343"/>
      <c r="G19" s="468"/>
      <c r="H19" s="823"/>
      <c r="I19" s="465" t="s">
        <v>18</v>
      </c>
      <c r="J19" s="463" t="s">
        <v>90</v>
      </c>
      <c r="K19" s="500">
        <f t="shared" si="2"/>
        <v>0</v>
      </c>
      <c r="L19" s="500">
        <f t="shared" si="3"/>
        <v>0</v>
      </c>
      <c r="M19" s="343"/>
      <c r="N19" s="466" t="s">
        <v>344</v>
      </c>
      <c r="O19" s="401" t="s">
        <v>345</v>
      </c>
      <c r="P19" s="122">
        <f t="shared" ref="P19:Q20" si="5">K38</f>
        <v>5714.8418099999999</v>
      </c>
      <c r="Q19" s="123">
        <f t="shared" si="5"/>
        <v>6709.4102699999876</v>
      </c>
    </row>
    <row r="20" spans="1:17" ht="15">
      <c r="A20" s="468"/>
      <c r="B20" s="475" t="s">
        <v>487</v>
      </c>
      <c r="C20" s="472" t="s">
        <v>19</v>
      </c>
      <c r="D20" s="126">
        <v>0</v>
      </c>
      <c r="E20" s="126">
        <v>0</v>
      </c>
      <c r="F20" s="343"/>
      <c r="G20" s="468"/>
      <c r="H20" s="823"/>
      <c r="I20" s="465" t="s">
        <v>19</v>
      </c>
      <c r="J20" s="463" t="s">
        <v>141</v>
      </c>
      <c r="K20" s="500">
        <f t="shared" si="2"/>
        <v>0</v>
      </c>
      <c r="L20" s="500">
        <f t="shared" si="3"/>
        <v>0</v>
      </c>
      <c r="M20" s="343"/>
      <c r="N20" s="466" t="s">
        <v>346</v>
      </c>
      <c r="O20" s="401" t="s">
        <v>347</v>
      </c>
      <c r="P20" s="122">
        <f t="shared" si="5"/>
        <v>1067.3615999999997</v>
      </c>
      <c r="Q20" s="123">
        <f t="shared" si="5"/>
        <v>1102.4033369999997</v>
      </c>
    </row>
    <row r="21" spans="1:17" ht="15">
      <c r="A21" s="468"/>
      <c r="B21" s="463" t="s">
        <v>143</v>
      </c>
      <c r="C21" s="472" t="s">
        <v>142</v>
      </c>
      <c r="D21" s="126">
        <v>0</v>
      </c>
      <c r="E21" s="126">
        <v>0</v>
      </c>
      <c r="F21" s="343"/>
      <c r="G21" s="468"/>
      <c r="H21" s="823"/>
      <c r="I21" s="465" t="s">
        <v>142</v>
      </c>
      <c r="J21" s="463" t="s">
        <v>143</v>
      </c>
      <c r="K21" s="500">
        <f t="shared" si="2"/>
        <v>0</v>
      </c>
      <c r="L21" s="500">
        <f t="shared" si="3"/>
        <v>0</v>
      </c>
      <c r="M21" s="343"/>
      <c r="N21" s="466" t="s">
        <v>348</v>
      </c>
      <c r="O21" s="401" t="s">
        <v>349</v>
      </c>
      <c r="P21" s="122">
        <f>K76</f>
        <v>1133.1767380000008</v>
      </c>
      <c r="Q21" s="123">
        <f>L76</f>
        <v>1215.225015</v>
      </c>
    </row>
    <row r="22" spans="1:17" ht="15">
      <c r="A22" s="468"/>
      <c r="B22" s="475" t="s">
        <v>488</v>
      </c>
      <c r="C22" s="472" t="s">
        <v>20</v>
      </c>
      <c r="D22" s="126">
        <v>7.1749999999999998</v>
      </c>
      <c r="E22" s="126">
        <v>1.52</v>
      </c>
      <c r="F22" s="343"/>
      <c r="G22" s="468"/>
      <c r="H22" s="823"/>
      <c r="I22" s="465" t="s">
        <v>20</v>
      </c>
      <c r="J22" s="463" t="s">
        <v>91</v>
      </c>
      <c r="K22" s="500">
        <f t="shared" si="2"/>
        <v>7.1749999999999998</v>
      </c>
      <c r="L22" s="500">
        <f t="shared" si="3"/>
        <v>1.52</v>
      </c>
      <c r="M22" s="343"/>
      <c r="N22" s="466" t="s">
        <v>350</v>
      </c>
      <c r="O22" s="401" t="s">
        <v>351</v>
      </c>
      <c r="P22" s="122">
        <f>K79+K34+K35+K37</f>
        <v>7.0575000000000001</v>
      </c>
      <c r="Q22" s="123">
        <f>L79+L34+L35+L37</f>
        <v>3.2834999999999996</v>
      </c>
    </row>
    <row r="23" spans="1:17">
      <c r="A23" s="468"/>
      <c r="B23" s="475" t="s">
        <v>489</v>
      </c>
      <c r="C23" s="472" t="s">
        <v>21</v>
      </c>
      <c r="D23" s="126">
        <v>0</v>
      </c>
      <c r="E23" s="126">
        <v>0</v>
      </c>
      <c r="F23" s="461"/>
      <c r="G23" s="468"/>
      <c r="H23" s="823"/>
      <c r="I23" s="465" t="s">
        <v>21</v>
      </c>
      <c r="J23" s="463" t="s">
        <v>144</v>
      </c>
      <c r="K23" s="500">
        <f t="shared" si="2"/>
        <v>0</v>
      </c>
      <c r="L23" s="500">
        <f t="shared" si="3"/>
        <v>0</v>
      </c>
      <c r="M23" s="461"/>
      <c r="N23" s="466" t="s">
        <v>352</v>
      </c>
      <c r="O23" s="401" t="s">
        <v>353</v>
      </c>
      <c r="P23" s="122">
        <f>K77</f>
        <v>84.731099999999984</v>
      </c>
      <c r="Q23" s="123">
        <f>L77</f>
        <v>59.213500000000025</v>
      </c>
    </row>
    <row r="24" spans="1:17" ht="15">
      <c r="A24" s="468"/>
      <c r="B24" s="475" t="s">
        <v>490</v>
      </c>
      <c r="C24" s="472" t="s">
        <v>22</v>
      </c>
      <c r="D24" s="126">
        <v>1.4750000000000001</v>
      </c>
      <c r="E24" s="126">
        <v>0.02</v>
      </c>
      <c r="F24" s="343"/>
      <c r="G24" s="468"/>
      <c r="H24" s="823"/>
      <c r="I24" s="465" t="s">
        <v>22</v>
      </c>
      <c r="J24" s="463" t="s">
        <v>92</v>
      </c>
      <c r="K24" s="500">
        <f t="shared" si="2"/>
        <v>1.4750000000000001</v>
      </c>
      <c r="L24" s="500">
        <f t="shared" si="3"/>
        <v>0.02</v>
      </c>
      <c r="M24" s="343"/>
      <c r="N24" s="466" t="s">
        <v>354</v>
      </c>
      <c r="O24" s="401" t="s">
        <v>355</v>
      </c>
      <c r="P24" s="122">
        <f>K8</f>
        <v>107.29600000000002</v>
      </c>
      <c r="Q24" s="123">
        <f>L8</f>
        <v>3.16</v>
      </c>
    </row>
    <row r="25" spans="1:17" ht="15">
      <c r="A25" s="468"/>
      <c r="B25" s="475" t="s">
        <v>491</v>
      </c>
      <c r="C25" s="472" t="s">
        <v>23</v>
      </c>
      <c r="D25" s="126">
        <v>17850.620400000007</v>
      </c>
      <c r="E25" s="126">
        <v>21991.827899999989</v>
      </c>
      <c r="F25" s="343"/>
      <c r="G25" s="468"/>
      <c r="H25" s="823"/>
      <c r="I25" s="465" t="s">
        <v>23</v>
      </c>
      <c r="J25" s="463" t="s">
        <v>93</v>
      </c>
      <c r="K25" s="500">
        <f t="shared" si="2"/>
        <v>17850.620400000007</v>
      </c>
      <c r="L25" s="500">
        <f t="shared" si="3"/>
        <v>21991.827899999989</v>
      </c>
      <c r="M25" s="343"/>
      <c r="N25" s="466" t="s">
        <v>356</v>
      </c>
      <c r="O25" s="401" t="s">
        <v>357</v>
      </c>
      <c r="P25" s="122">
        <f>K70+K67+K68+K72</f>
        <v>23769.300860000018</v>
      </c>
      <c r="Q25" s="123">
        <f>L70+L67+L68+L72</f>
        <v>21765.469860000012</v>
      </c>
    </row>
    <row r="26" spans="1:17" ht="15" customHeight="1">
      <c r="A26" s="468"/>
      <c r="B26" s="475" t="s">
        <v>492</v>
      </c>
      <c r="C26" s="472" t="s">
        <v>24</v>
      </c>
      <c r="D26" s="126">
        <v>168.43200000000004</v>
      </c>
      <c r="E26" s="126">
        <v>195.15300000000002</v>
      </c>
      <c r="F26" s="343"/>
      <c r="G26" s="468"/>
      <c r="H26" s="823"/>
      <c r="I26" s="465" t="s">
        <v>24</v>
      </c>
      <c r="J26" s="463" t="s">
        <v>94</v>
      </c>
      <c r="K26" s="500">
        <f t="shared" si="2"/>
        <v>168.43200000000004</v>
      </c>
      <c r="L26" s="500">
        <f t="shared" si="3"/>
        <v>195.15300000000002</v>
      </c>
      <c r="M26" s="343"/>
      <c r="N26" s="62"/>
      <c r="O26" s="63" t="s">
        <v>407</v>
      </c>
      <c r="P26" s="115"/>
      <c r="Q26" s="116"/>
    </row>
    <row r="27" spans="1:17" ht="15">
      <c r="A27" s="468"/>
      <c r="B27" s="475" t="s">
        <v>493</v>
      </c>
      <c r="C27" s="472" t="s">
        <v>25</v>
      </c>
      <c r="D27" s="126">
        <v>0</v>
      </c>
      <c r="E27" s="126">
        <v>32.42</v>
      </c>
      <c r="F27" s="343"/>
      <c r="G27" s="468"/>
      <c r="H27" s="823"/>
      <c r="I27" s="465" t="s">
        <v>25</v>
      </c>
      <c r="J27" s="463" t="s">
        <v>145</v>
      </c>
      <c r="K27" s="500">
        <f t="shared" si="2"/>
        <v>0</v>
      </c>
      <c r="L27" s="500">
        <f t="shared" si="3"/>
        <v>32.42</v>
      </c>
      <c r="M27" s="343"/>
      <c r="N27" s="476" t="s">
        <v>358</v>
      </c>
      <c r="O27" s="407" t="s">
        <v>84</v>
      </c>
      <c r="P27" s="122">
        <f>K13</f>
        <v>0</v>
      </c>
      <c r="Q27" s="122">
        <f>L13</f>
        <v>0</v>
      </c>
    </row>
    <row r="28" spans="1:17" ht="15">
      <c r="A28" s="468"/>
      <c r="B28" s="463" t="s">
        <v>147</v>
      </c>
      <c r="C28" s="464" t="s">
        <v>146</v>
      </c>
      <c r="D28" s="126">
        <v>0</v>
      </c>
      <c r="E28" s="126">
        <v>0</v>
      </c>
      <c r="F28" s="343"/>
      <c r="G28" s="468"/>
      <c r="H28" s="823"/>
      <c r="I28" s="465" t="s">
        <v>146</v>
      </c>
      <c r="J28" s="463" t="s">
        <v>147</v>
      </c>
      <c r="K28" s="500">
        <f t="shared" si="2"/>
        <v>0</v>
      </c>
      <c r="L28" s="500">
        <f t="shared" si="3"/>
        <v>0</v>
      </c>
      <c r="M28" s="343"/>
      <c r="N28" s="476" t="s">
        <v>359</v>
      </c>
      <c r="O28" s="407" t="s">
        <v>90</v>
      </c>
      <c r="P28" s="122">
        <f>K19</f>
        <v>0</v>
      </c>
      <c r="Q28" s="122">
        <f>L19</f>
        <v>0</v>
      </c>
    </row>
    <row r="29" spans="1:17" ht="15">
      <c r="A29" s="468"/>
      <c r="B29" s="463" t="s">
        <v>149</v>
      </c>
      <c r="C29" s="464" t="s">
        <v>148</v>
      </c>
      <c r="D29" s="126">
        <v>0</v>
      </c>
      <c r="E29" s="126">
        <v>0</v>
      </c>
      <c r="F29" s="343"/>
      <c r="G29" s="468"/>
      <c r="H29" s="823"/>
      <c r="I29" s="465" t="s">
        <v>148</v>
      </c>
      <c r="J29" s="463" t="s">
        <v>149</v>
      </c>
      <c r="K29" s="500">
        <f t="shared" si="2"/>
        <v>0</v>
      </c>
      <c r="L29" s="500">
        <f t="shared" si="3"/>
        <v>0</v>
      </c>
      <c r="M29" s="343"/>
      <c r="N29" s="476" t="s">
        <v>360</v>
      </c>
      <c r="O29" s="407" t="s">
        <v>361</v>
      </c>
      <c r="P29" s="122">
        <f>K17</f>
        <v>273.74770000000007</v>
      </c>
      <c r="Q29" s="122">
        <f>L17</f>
        <v>337.88460000000003</v>
      </c>
    </row>
    <row r="30" spans="1:17" ht="15">
      <c r="A30" s="468"/>
      <c r="B30" s="477" t="s">
        <v>496</v>
      </c>
      <c r="C30" s="472" t="s">
        <v>26</v>
      </c>
      <c r="D30" s="126">
        <v>0</v>
      </c>
      <c r="E30" s="126">
        <v>0</v>
      </c>
      <c r="F30" s="343"/>
      <c r="G30" s="468"/>
      <c r="H30" s="823"/>
      <c r="I30" s="465" t="s">
        <v>26</v>
      </c>
      <c r="J30" s="463" t="s">
        <v>150</v>
      </c>
      <c r="K30" s="500">
        <f t="shared" si="2"/>
        <v>0</v>
      </c>
      <c r="L30" s="500">
        <f t="shared" si="3"/>
        <v>0</v>
      </c>
      <c r="M30" s="343"/>
      <c r="N30" s="476" t="s">
        <v>362</v>
      </c>
      <c r="O30" s="407" t="s">
        <v>91</v>
      </c>
      <c r="P30" s="122">
        <f>K22</f>
        <v>7.1749999999999998</v>
      </c>
      <c r="Q30" s="122">
        <f>L22</f>
        <v>1.52</v>
      </c>
    </row>
    <row r="31" spans="1:17" ht="15">
      <c r="A31" s="468"/>
      <c r="B31" s="477" t="s">
        <v>95</v>
      </c>
      <c r="C31" s="472" t="s">
        <v>27</v>
      </c>
      <c r="D31" s="126">
        <v>8233.4067799999993</v>
      </c>
      <c r="E31" s="126">
        <v>11959.483500000013</v>
      </c>
      <c r="F31" s="343"/>
      <c r="G31" s="468"/>
      <c r="H31" s="823"/>
      <c r="I31" s="465" t="s">
        <v>27</v>
      </c>
      <c r="J31" s="463" t="s">
        <v>95</v>
      </c>
      <c r="K31" s="500">
        <f t="shared" si="2"/>
        <v>8233.4067799999993</v>
      </c>
      <c r="L31" s="500">
        <f t="shared" si="3"/>
        <v>11959.483500000013</v>
      </c>
      <c r="M31" s="343"/>
      <c r="N31" s="476" t="s">
        <v>363</v>
      </c>
      <c r="O31" s="407" t="s">
        <v>94</v>
      </c>
      <c r="P31" s="122">
        <f>K26</f>
        <v>168.43200000000004</v>
      </c>
      <c r="Q31" s="122">
        <f>L26</f>
        <v>195.15300000000002</v>
      </c>
    </row>
    <row r="32" spans="1:17" ht="15">
      <c r="A32" s="468"/>
      <c r="B32" s="477" t="s">
        <v>498</v>
      </c>
      <c r="C32" s="472" t="s">
        <v>28</v>
      </c>
      <c r="D32" s="126">
        <v>0</v>
      </c>
      <c r="E32" s="126">
        <v>0</v>
      </c>
      <c r="F32" s="343"/>
      <c r="G32" s="468"/>
      <c r="H32" s="823"/>
      <c r="I32" s="465" t="s">
        <v>28</v>
      </c>
      <c r="J32" s="463" t="s">
        <v>96</v>
      </c>
      <c r="K32" s="500">
        <f t="shared" si="2"/>
        <v>0</v>
      </c>
      <c r="L32" s="500">
        <f t="shared" si="3"/>
        <v>0</v>
      </c>
      <c r="M32" s="343"/>
      <c r="N32" s="476" t="s">
        <v>364</v>
      </c>
      <c r="O32" s="407" t="s">
        <v>87</v>
      </c>
      <c r="P32" s="122">
        <f>K16</f>
        <v>0</v>
      </c>
      <c r="Q32" s="122">
        <f>L16</f>
        <v>5.0000000000000001E-3</v>
      </c>
    </row>
    <row r="33" spans="1:17" ht="15">
      <c r="A33" s="468"/>
      <c r="B33" s="463" t="s">
        <v>97</v>
      </c>
      <c r="C33" s="472" t="s">
        <v>29</v>
      </c>
      <c r="D33" s="126">
        <v>0.47499999999999998</v>
      </c>
      <c r="E33" s="126">
        <v>0</v>
      </c>
      <c r="F33" s="343"/>
      <c r="G33" s="468"/>
      <c r="H33" s="823"/>
      <c r="I33" s="465" t="s">
        <v>29</v>
      </c>
      <c r="J33" s="463" t="s">
        <v>97</v>
      </c>
      <c r="K33" s="500">
        <f t="shared" si="2"/>
        <v>0.47499999999999998</v>
      </c>
      <c r="L33" s="500">
        <f t="shared" si="3"/>
        <v>0</v>
      </c>
      <c r="M33" s="343"/>
      <c r="N33" s="476" t="s">
        <v>365</v>
      </c>
      <c r="O33" s="407" t="s">
        <v>145</v>
      </c>
      <c r="P33" s="122">
        <f>K27</f>
        <v>0</v>
      </c>
      <c r="Q33" s="122">
        <f>L27</f>
        <v>32.42</v>
      </c>
    </row>
    <row r="34" spans="1:17" ht="15">
      <c r="A34" s="468"/>
      <c r="B34" s="463" t="s">
        <v>98</v>
      </c>
      <c r="C34" s="464" t="s">
        <v>99</v>
      </c>
      <c r="D34" s="126">
        <v>0</v>
      </c>
      <c r="E34" s="126">
        <v>0</v>
      </c>
      <c r="F34" s="343"/>
      <c r="G34" s="468"/>
      <c r="H34" s="823"/>
      <c r="I34" s="465" t="s">
        <v>99</v>
      </c>
      <c r="J34" s="463" t="s">
        <v>98</v>
      </c>
      <c r="K34" s="500">
        <f t="shared" si="2"/>
        <v>0</v>
      </c>
      <c r="L34" s="500">
        <f t="shared" si="3"/>
        <v>0</v>
      </c>
      <c r="M34" s="343"/>
      <c r="N34" s="476" t="s">
        <v>366</v>
      </c>
      <c r="O34" s="407" t="s">
        <v>89</v>
      </c>
      <c r="P34" s="122">
        <f>K18</f>
        <v>1.9994999999999998</v>
      </c>
      <c r="Q34" s="122">
        <f>L18</f>
        <v>6.2839999999999989</v>
      </c>
    </row>
    <row r="35" spans="1:17" ht="15">
      <c r="A35" s="468"/>
      <c r="B35" s="463" t="s">
        <v>100</v>
      </c>
      <c r="C35" s="464" t="s">
        <v>101</v>
      </c>
      <c r="D35" s="126">
        <v>0</v>
      </c>
      <c r="E35" s="126">
        <v>0</v>
      </c>
      <c r="F35" s="343"/>
      <c r="G35" s="468"/>
      <c r="H35" s="823"/>
      <c r="I35" s="465" t="s">
        <v>101</v>
      </c>
      <c r="J35" s="463" t="s">
        <v>100</v>
      </c>
      <c r="K35" s="500">
        <f t="shared" si="2"/>
        <v>0</v>
      </c>
      <c r="L35" s="500">
        <f t="shared" si="3"/>
        <v>0</v>
      </c>
      <c r="M35" s="343"/>
      <c r="N35" s="476" t="s">
        <v>367</v>
      </c>
      <c r="O35" s="407" t="s">
        <v>141</v>
      </c>
      <c r="P35" s="122">
        <f>K20</f>
        <v>0</v>
      </c>
      <c r="Q35" s="122">
        <f>L20</f>
        <v>0</v>
      </c>
    </row>
    <row r="36" spans="1:17" ht="15">
      <c r="A36" s="469"/>
      <c r="B36" s="463" t="s">
        <v>151</v>
      </c>
      <c r="C36" s="464" t="s">
        <v>30</v>
      </c>
      <c r="D36" s="126">
        <v>0</v>
      </c>
      <c r="E36" s="126">
        <v>0</v>
      </c>
      <c r="F36" s="343"/>
      <c r="G36" s="469"/>
      <c r="H36" s="824"/>
      <c r="I36" s="465" t="s">
        <v>30</v>
      </c>
      <c r="J36" s="463" t="s">
        <v>151</v>
      </c>
      <c r="K36" s="500">
        <f t="shared" si="2"/>
        <v>0</v>
      </c>
      <c r="L36" s="500">
        <f t="shared" si="3"/>
        <v>0</v>
      </c>
      <c r="M36" s="343"/>
      <c r="N36" s="476" t="s">
        <v>368</v>
      </c>
      <c r="O36" s="407" t="s">
        <v>147</v>
      </c>
      <c r="P36" s="122">
        <f>K28</f>
        <v>0</v>
      </c>
      <c r="Q36" s="122">
        <f>L28</f>
        <v>0</v>
      </c>
    </row>
    <row r="37" spans="1:17" ht="15">
      <c r="A37" s="470" t="s">
        <v>31</v>
      </c>
      <c r="B37" s="463" t="s">
        <v>102</v>
      </c>
      <c r="C37" s="464" t="s">
        <v>33</v>
      </c>
      <c r="D37" s="126">
        <v>7.0575000000000001</v>
      </c>
      <c r="E37" s="126">
        <v>3.2834999999999996</v>
      </c>
      <c r="F37" s="343"/>
      <c r="G37" s="470" t="s">
        <v>31</v>
      </c>
      <c r="H37" s="471" t="s">
        <v>32</v>
      </c>
      <c r="I37" s="465" t="s">
        <v>33</v>
      </c>
      <c r="J37" s="463" t="s">
        <v>102</v>
      </c>
      <c r="K37" s="500">
        <f t="shared" si="2"/>
        <v>7.0575000000000001</v>
      </c>
      <c r="L37" s="500">
        <f t="shared" si="3"/>
        <v>3.2834999999999996</v>
      </c>
      <c r="M37" s="343"/>
      <c r="N37" s="476" t="s">
        <v>369</v>
      </c>
      <c r="O37" s="407" t="s">
        <v>86</v>
      </c>
      <c r="P37" s="122">
        <f>K15</f>
        <v>90.266303999999963</v>
      </c>
      <c r="Q37" s="122">
        <f>L15</f>
        <v>1593.5884999999978</v>
      </c>
    </row>
    <row r="38" spans="1:17" ht="15" customHeight="1">
      <c r="A38" s="462" t="s">
        <v>34</v>
      </c>
      <c r="B38" s="463" t="s">
        <v>103</v>
      </c>
      <c r="C38" s="464" t="s">
        <v>35</v>
      </c>
      <c r="D38" s="126">
        <v>5714.8418099999999</v>
      </c>
      <c r="E38" s="126">
        <v>6709.4102699999876</v>
      </c>
      <c r="F38" s="343"/>
      <c r="G38" s="462" t="s">
        <v>34</v>
      </c>
      <c r="H38" s="825" t="s">
        <v>152</v>
      </c>
      <c r="I38" s="465" t="s">
        <v>35</v>
      </c>
      <c r="J38" s="463" t="s">
        <v>103</v>
      </c>
      <c r="K38" s="500">
        <f t="shared" si="2"/>
        <v>5714.8418099999999</v>
      </c>
      <c r="L38" s="500">
        <f t="shared" si="3"/>
        <v>6709.4102699999876</v>
      </c>
      <c r="M38" s="343"/>
      <c r="N38" s="476" t="s">
        <v>370</v>
      </c>
      <c r="O38" s="407" t="s">
        <v>143</v>
      </c>
      <c r="P38" s="122">
        <f>K21</f>
        <v>0</v>
      </c>
      <c r="Q38" s="122">
        <f>L21</f>
        <v>0</v>
      </c>
    </row>
    <row r="39" spans="1:17" ht="15">
      <c r="A39" s="469"/>
      <c r="B39" s="463" t="s">
        <v>104</v>
      </c>
      <c r="C39" s="464" t="s">
        <v>105</v>
      </c>
      <c r="D39" s="126">
        <v>1067.3615999999997</v>
      </c>
      <c r="E39" s="126">
        <v>1102.4033369999997</v>
      </c>
      <c r="F39" s="343"/>
      <c r="G39" s="469"/>
      <c r="H39" s="826"/>
      <c r="I39" s="465" t="s">
        <v>105</v>
      </c>
      <c r="J39" s="463" t="s">
        <v>104</v>
      </c>
      <c r="K39" s="500">
        <f t="shared" si="2"/>
        <v>1067.3615999999997</v>
      </c>
      <c r="L39" s="500">
        <f t="shared" si="3"/>
        <v>1102.4033369999997</v>
      </c>
      <c r="M39" s="343"/>
      <c r="N39" s="476" t="s">
        <v>371</v>
      </c>
      <c r="O39" s="407" t="s">
        <v>93</v>
      </c>
      <c r="P39" s="122">
        <f>K25</f>
        <v>17850.620400000007</v>
      </c>
      <c r="Q39" s="122">
        <f>L25</f>
        <v>21991.827899999989</v>
      </c>
    </row>
    <row r="40" spans="1:17" ht="15">
      <c r="A40" s="462" t="s">
        <v>37</v>
      </c>
      <c r="B40" s="463" t="s">
        <v>106</v>
      </c>
      <c r="C40" s="464" t="s">
        <v>38</v>
      </c>
      <c r="D40" s="126">
        <v>0</v>
      </c>
      <c r="E40" s="126">
        <v>0</v>
      </c>
      <c r="F40" s="343"/>
      <c r="G40" s="462" t="s">
        <v>37</v>
      </c>
      <c r="H40" s="822" t="s">
        <v>153</v>
      </c>
      <c r="I40" s="465" t="s">
        <v>38</v>
      </c>
      <c r="J40" s="463" t="s">
        <v>106</v>
      </c>
      <c r="K40" s="500">
        <f t="shared" si="2"/>
        <v>0</v>
      </c>
      <c r="L40" s="500">
        <f t="shared" si="3"/>
        <v>0</v>
      </c>
      <c r="M40" s="343"/>
      <c r="N40" s="476" t="s">
        <v>372</v>
      </c>
      <c r="O40" s="407" t="s">
        <v>85</v>
      </c>
      <c r="P40" s="122">
        <f>K14</f>
        <v>1286.4969499999997</v>
      </c>
      <c r="Q40" s="122">
        <f>L14</f>
        <v>4887.6534999999967</v>
      </c>
    </row>
    <row r="41" spans="1:17" ht="15" customHeight="1">
      <c r="A41" s="462"/>
      <c r="B41" s="463" t="s">
        <v>107</v>
      </c>
      <c r="C41" s="478" t="s">
        <v>39</v>
      </c>
      <c r="D41" s="126">
        <v>1320.9823859999974</v>
      </c>
      <c r="E41" s="126">
        <v>3177.3779799999929</v>
      </c>
      <c r="F41" s="343"/>
      <c r="G41" s="468"/>
      <c r="H41" s="823"/>
      <c r="I41" s="465" t="s">
        <v>39</v>
      </c>
      <c r="J41" s="463" t="s">
        <v>107</v>
      </c>
      <c r="K41" s="500">
        <f t="shared" si="2"/>
        <v>1320.9823859999974</v>
      </c>
      <c r="L41" s="500">
        <f t="shared" si="3"/>
        <v>3177.3779799999929</v>
      </c>
      <c r="M41" s="343"/>
      <c r="N41" s="476" t="s">
        <v>373</v>
      </c>
      <c r="O41" s="407" t="s">
        <v>374</v>
      </c>
      <c r="P41" s="122">
        <f t="shared" ref="P41:Q43" si="6">K10</f>
        <v>0.90449999999999997</v>
      </c>
      <c r="Q41" s="122">
        <f t="shared" si="6"/>
        <v>0.11499999999999999</v>
      </c>
    </row>
    <row r="42" spans="1:17" ht="15">
      <c r="A42" s="468"/>
      <c r="B42" s="463" t="s">
        <v>108</v>
      </c>
      <c r="C42" s="464" t="s">
        <v>40</v>
      </c>
      <c r="D42" s="126">
        <v>103.1486000000005</v>
      </c>
      <c r="E42" s="126">
        <v>112.6314000000004</v>
      </c>
      <c r="F42" s="343"/>
      <c r="G42" s="468"/>
      <c r="H42" s="823"/>
      <c r="I42" s="465" t="s">
        <v>40</v>
      </c>
      <c r="J42" s="463" t="s">
        <v>108</v>
      </c>
      <c r="K42" s="500">
        <f t="shared" si="2"/>
        <v>103.1486000000005</v>
      </c>
      <c r="L42" s="500">
        <f t="shared" si="3"/>
        <v>112.6314000000004</v>
      </c>
      <c r="M42" s="343"/>
      <c r="N42" s="476" t="s">
        <v>375</v>
      </c>
      <c r="O42" s="479" t="s">
        <v>82</v>
      </c>
      <c r="P42" s="122">
        <f t="shared" si="6"/>
        <v>5978.9361260000087</v>
      </c>
      <c r="Q42" s="123">
        <f t="shared" si="6"/>
        <v>8543.0020150000018</v>
      </c>
    </row>
    <row r="43" spans="1:17" ht="15">
      <c r="A43" s="469"/>
      <c r="B43" s="463" t="s">
        <v>109</v>
      </c>
      <c r="C43" s="464" t="s">
        <v>41</v>
      </c>
      <c r="D43" s="126">
        <v>381.70900000000017</v>
      </c>
      <c r="E43" s="126">
        <v>379.0234999999999</v>
      </c>
      <c r="F43" s="343"/>
      <c r="G43" s="469"/>
      <c r="H43" s="824"/>
      <c r="I43" s="465" t="s">
        <v>41</v>
      </c>
      <c r="J43" s="463" t="s">
        <v>109</v>
      </c>
      <c r="K43" s="500">
        <f t="shared" si="2"/>
        <v>381.70900000000017</v>
      </c>
      <c r="L43" s="500">
        <f t="shared" si="3"/>
        <v>379.0234999999999</v>
      </c>
      <c r="M43" s="343"/>
      <c r="N43" s="476" t="s">
        <v>376</v>
      </c>
      <c r="O43" s="479" t="s">
        <v>83</v>
      </c>
      <c r="P43" s="122">
        <f t="shared" si="6"/>
        <v>1506.2928000000006</v>
      </c>
      <c r="Q43" s="123">
        <f t="shared" si="6"/>
        <v>2658.3323200000009</v>
      </c>
    </row>
    <row r="44" spans="1:17" ht="15">
      <c r="A44" s="462" t="s">
        <v>42</v>
      </c>
      <c r="B44" s="463" t="s">
        <v>110</v>
      </c>
      <c r="C44" s="478" t="s">
        <v>43</v>
      </c>
      <c r="D44" s="126">
        <v>110.86030000000002</v>
      </c>
      <c r="E44" s="126">
        <v>347.69738599999999</v>
      </c>
      <c r="F44" s="343"/>
      <c r="G44" s="462" t="s">
        <v>42</v>
      </c>
      <c r="H44" s="822" t="s">
        <v>154</v>
      </c>
      <c r="I44" s="465" t="s">
        <v>43</v>
      </c>
      <c r="J44" s="463" t="s">
        <v>110</v>
      </c>
      <c r="K44" s="500">
        <f t="shared" si="2"/>
        <v>110.86030000000002</v>
      </c>
      <c r="L44" s="500">
        <f t="shared" si="3"/>
        <v>347.69738599999999</v>
      </c>
      <c r="M44" s="343"/>
      <c r="N44" s="476" t="s">
        <v>377</v>
      </c>
      <c r="O44" s="479" t="s">
        <v>378</v>
      </c>
      <c r="P44" s="122">
        <f>K71</f>
        <v>18.432899999999997</v>
      </c>
      <c r="Q44" s="123">
        <f>L71</f>
        <v>43.804999999999993</v>
      </c>
    </row>
    <row r="45" spans="1:17" ht="15">
      <c r="A45" s="468"/>
      <c r="B45" s="463" t="s">
        <v>111</v>
      </c>
      <c r="C45" s="464" t="s">
        <v>44</v>
      </c>
      <c r="D45" s="126">
        <v>1.5035000000000001</v>
      </c>
      <c r="E45" s="126">
        <v>5.0091800000000006</v>
      </c>
      <c r="F45" s="343"/>
      <c r="G45" s="468"/>
      <c r="H45" s="823"/>
      <c r="I45" s="465" t="s">
        <v>44</v>
      </c>
      <c r="J45" s="463" t="s">
        <v>111</v>
      </c>
      <c r="K45" s="500">
        <f t="shared" si="2"/>
        <v>1.5035000000000001</v>
      </c>
      <c r="L45" s="500">
        <f t="shared" si="3"/>
        <v>5.0091800000000006</v>
      </c>
      <c r="M45" s="343"/>
      <c r="N45" s="476" t="s">
        <v>379</v>
      </c>
      <c r="O45" s="479" t="s">
        <v>176</v>
      </c>
      <c r="P45" s="122">
        <f>K45</f>
        <v>1.5035000000000001</v>
      </c>
      <c r="Q45" s="123">
        <f>L45</f>
        <v>5.0091800000000006</v>
      </c>
    </row>
    <row r="46" spans="1:17" ht="15">
      <c r="A46" s="469"/>
      <c r="B46" s="463" t="s">
        <v>155</v>
      </c>
      <c r="C46" s="464" t="s">
        <v>45</v>
      </c>
      <c r="D46" s="126">
        <v>6.28</v>
      </c>
      <c r="E46" s="126">
        <v>2.52</v>
      </c>
      <c r="F46" s="343"/>
      <c r="G46" s="469"/>
      <c r="H46" s="824"/>
      <c r="I46" s="465" t="s">
        <v>45</v>
      </c>
      <c r="J46" s="463" t="s">
        <v>155</v>
      </c>
      <c r="K46" s="500">
        <f t="shared" si="2"/>
        <v>6.28</v>
      </c>
      <c r="L46" s="500">
        <f t="shared" si="3"/>
        <v>2.52</v>
      </c>
      <c r="M46" s="343"/>
      <c r="N46" s="476" t="s">
        <v>380</v>
      </c>
      <c r="O46" s="479" t="s">
        <v>381</v>
      </c>
      <c r="P46" s="122">
        <f>K59</f>
        <v>0</v>
      </c>
      <c r="Q46" s="123">
        <f>L59</f>
        <v>0</v>
      </c>
    </row>
    <row r="47" spans="1:17" ht="15">
      <c r="A47" s="462" t="s">
        <v>46</v>
      </c>
      <c r="B47" s="463" t="s">
        <v>112</v>
      </c>
      <c r="C47" s="480" t="s">
        <v>47</v>
      </c>
      <c r="D47" s="126">
        <v>15183.534470000024</v>
      </c>
      <c r="E47" s="126">
        <v>14265.096328000029</v>
      </c>
      <c r="F47" s="343"/>
      <c r="G47" s="462" t="s">
        <v>46</v>
      </c>
      <c r="H47" s="822" t="s">
        <v>156</v>
      </c>
      <c r="I47" s="465" t="s">
        <v>47</v>
      </c>
      <c r="J47" s="463" t="s">
        <v>112</v>
      </c>
      <c r="K47" s="500">
        <f t="shared" si="2"/>
        <v>15183.534470000024</v>
      </c>
      <c r="L47" s="500">
        <f t="shared" si="3"/>
        <v>14265.096328000029</v>
      </c>
      <c r="M47" s="343"/>
      <c r="N47" s="476" t="s">
        <v>382</v>
      </c>
      <c r="O47" s="479" t="s">
        <v>383</v>
      </c>
      <c r="P47" s="122">
        <f>K55</f>
        <v>96.72</v>
      </c>
      <c r="Q47" s="123">
        <f>L55</f>
        <v>47.999999999999993</v>
      </c>
    </row>
    <row r="48" spans="1:17" ht="15">
      <c r="A48" s="481"/>
      <c r="B48" s="463" t="s">
        <v>157</v>
      </c>
      <c r="C48" s="464" t="s">
        <v>48</v>
      </c>
      <c r="D48" s="126">
        <v>48258.045390000181</v>
      </c>
      <c r="E48" s="126">
        <v>49222.57785800015</v>
      </c>
      <c r="F48" s="343"/>
      <c r="G48" s="468"/>
      <c r="H48" s="823"/>
      <c r="I48" s="465" t="s">
        <v>48</v>
      </c>
      <c r="J48" s="463" t="s">
        <v>157</v>
      </c>
      <c r="K48" s="500">
        <f t="shared" si="2"/>
        <v>48258.045390000181</v>
      </c>
      <c r="L48" s="500">
        <f t="shared" si="3"/>
        <v>49222.57785800015</v>
      </c>
      <c r="M48" s="343"/>
      <c r="N48" s="476" t="s">
        <v>384</v>
      </c>
      <c r="O48" s="479" t="s">
        <v>106</v>
      </c>
      <c r="P48" s="122">
        <f>K40</f>
        <v>0</v>
      </c>
      <c r="Q48" s="123">
        <f>L40</f>
        <v>0</v>
      </c>
    </row>
    <row r="49" spans="1:17" ht="15" customHeight="1">
      <c r="A49" s="482"/>
      <c r="B49" s="463" t="s">
        <v>158</v>
      </c>
      <c r="C49" s="464" t="s">
        <v>49</v>
      </c>
      <c r="D49" s="126">
        <v>638.46699999999998</v>
      </c>
      <c r="E49" s="126">
        <v>7973.1199999999981</v>
      </c>
      <c r="F49" s="343"/>
      <c r="G49" s="469"/>
      <c r="H49" s="824"/>
      <c r="I49" s="465" t="s">
        <v>49</v>
      </c>
      <c r="J49" s="463" t="s">
        <v>158</v>
      </c>
      <c r="K49" s="500">
        <f t="shared" si="2"/>
        <v>638.46699999999998</v>
      </c>
      <c r="L49" s="500">
        <f t="shared" si="3"/>
        <v>7973.1199999999981</v>
      </c>
      <c r="M49" s="343"/>
      <c r="N49" s="476" t="s">
        <v>385</v>
      </c>
      <c r="O49" s="479" t="s">
        <v>108</v>
      </c>
      <c r="P49" s="122">
        <f>K42</f>
        <v>103.1486000000005</v>
      </c>
      <c r="Q49" s="123">
        <f>L42</f>
        <v>112.6314000000004</v>
      </c>
    </row>
    <row r="50" spans="1:17" ht="15" customHeight="1">
      <c r="A50" s="483" t="s">
        <v>50</v>
      </c>
      <c r="B50" s="463" t="s">
        <v>113</v>
      </c>
      <c r="C50" s="474" t="s">
        <v>51</v>
      </c>
      <c r="D50" s="498">
        <v>0</v>
      </c>
      <c r="E50" s="498">
        <v>0</v>
      </c>
      <c r="F50" s="343"/>
      <c r="G50" s="462" t="s">
        <v>50</v>
      </c>
      <c r="H50" s="495" t="s">
        <v>159</v>
      </c>
      <c r="I50" s="465" t="s">
        <v>51</v>
      </c>
      <c r="J50" s="463" t="s">
        <v>113</v>
      </c>
      <c r="K50" s="498">
        <f t="shared" si="2"/>
        <v>0</v>
      </c>
      <c r="L50" s="498">
        <f t="shared" si="3"/>
        <v>0</v>
      </c>
      <c r="M50" s="343"/>
      <c r="N50" s="476" t="s">
        <v>386</v>
      </c>
      <c r="O50" s="479" t="s">
        <v>107</v>
      </c>
      <c r="P50" s="122">
        <f>K41</f>
        <v>1320.9823859999974</v>
      </c>
      <c r="Q50" s="123">
        <f>L41</f>
        <v>3177.3779799999929</v>
      </c>
    </row>
    <row r="51" spans="1:17" ht="15">
      <c r="A51" s="484"/>
      <c r="B51" s="463" t="s">
        <v>114</v>
      </c>
      <c r="C51" s="474" t="s">
        <v>115</v>
      </c>
      <c r="D51" s="498">
        <v>59.706499999999998</v>
      </c>
      <c r="E51" s="498">
        <v>723.57949999999994</v>
      </c>
      <c r="F51" s="343"/>
      <c r="G51" s="468"/>
      <c r="H51" s="496"/>
      <c r="I51" s="465" t="s">
        <v>115</v>
      </c>
      <c r="J51" s="463" t="s">
        <v>114</v>
      </c>
      <c r="K51" s="498">
        <f t="shared" si="2"/>
        <v>59.706499999999998</v>
      </c>
      <c r="L51" s="498">
        <f t="shared" si="3"/>
        <v>723.57949999999994</v>
      </c>
      <c r="M51" s="343"/>
      <c r="N51" s="476" t="s">
        <v>387</v>
      </c>
      <c r="O51" s="479" t="s">
        <v>388</v>
      </c>
      <c r="P51" s="122">
        <f t="shared" ref="P51:Q52" si="7">K57</f>
        <v>0</v>
      </c>
      <c r="Q51" s="122">
        <f t="shared" si="7"/>
        <v>0</v>
      </c>
    </row>
    <row r="52" spans="1:17">
      <c r="A52" s="484"/>
      <c r="B52" s="485" t="s">
        <v>627</v>
      </c>
      <c r="C52" s="486" t="s">
        <v>628</v>
      </c>
      <c r="D52" s="499"/>
      <c r="E52" s="499"/>
      <c r="F52" s="461"/>
      <c r="G52" s="468"/>
      <c r="H52" s="496"/>
      <c r="I52" s="465" t="s">
        <v>52</v>
      </c>
      <c r="J52" s="463" t="s">
        <v>116</v>
      </c>
      <c r="K52" s="500">
        <f t="shared" ref="K52:K66" si="8">IF(ISNUMBER(D53),D53,"")</f>
        <v>0</v>
      </c>
      <c r="L52" s="500">
        <f t="shared" ref="L52:L66" si="9">IF(ISNUMBER(E53),E53,"")</f>
        <v>0</v>
      </c>
      <c r="M52" s="461"/>
      <c r="N52" s="476" t="s">
        <v>389</v>
      </c>
      <c r="O52" s="479" t="s">
        <v>390</v>
      </c>
      <c r="P52" s="122">
        <f t="shared" si="7"/>
        <v>0</v>
      </c>
      <c r="Q52" s="122">
        <f t="shared" si="7"/>
        <v>0</v>
      </c>
    </row>
    <row r="53" spans="1:17" ht="15">
      <c r="A53" s="484"/>
      <c r="B53" s="463" t="s">
        <v>116</v>
      </c>
      <c r="C53" s="474" t="s">
        <v>52</v>
      </c>
      <c r="D53" s="498">
        <v>0</v>
      </c>
      <c r="E53" s="498">
        <v>0</v>
      </c>
      <c r="F53" s="343"/>
      <c r="G53" s="468"/>
      <c r="H53" s="497"/>
      <c r="I53" s="465" t="s">
        <v>118</v>
      </c>
      <c r="J53" s="463" t="s">
        <v>117</v>
      </c>
      <c r="K53" s="500">
        <f t="shared" si="8"/>
        <v>0</v>
      </c>
      <c r="L53" s="500">
        <f t="shared" si="9"/>
        <v>0</v>
      </c>
      <c r="M53" s="343"/>
      <c r="N53" s="476" t="s">
        <v>391</v>
      </c>
      <c r="O53" s="479" t="s">
        <v>392</v>
      </c>
      <c r="P53" s="122">
        <f>K56</f>
        <v>0</v>
      </c>
      <c r="Q53" s="122">
        <f>L56</f>
        <v>0</v>
      </c>
    </row>
    <row r="54" spans="1:17" ht="25.5">
      <c r="A54" s="484"/>
      <c r="B54" s="463" t="s">
        <v>117</v>
      </c>
      <c r="C54" s="474" t="s">
        <v>118</v>
      </c>
      <c r="D54" s="498">
        <v>0</v>
      </c>
      <c r="E54" s="498">
        <v>0</v>
      </c>
      <c r="F54" s="343"/>
      <c r="G54" s="462" t="s">
        <v>53</v>
      </c>
      <c r="H54" s="822" t="s">
        <v>54</v>
      </c>
      <c r="I54" s="465" t="s">
        <v>55</v>
      </c>
      <c r="J54" s="487" t="s">
        <v>160</v>
      </c>
      <c r="K54" s="500">
        <f t="shared" si="8"/>
        <v>1036.9860000000003</v>
      </c>
      <c r="L54" s="500">
        <f t="shared" si="9"/>
        <v>991.26150000000007</v>
      </c>
      <c r="M54" s="343"/>
      <c r="N54" s="62"/>
      <c r="O54" s="63" t="s">
        <v>405</v>
      </c>
      <c r="P54" s="115"/>
      <c r="Q54" s="116"/>
    </row>
    <row r="55" spans="1:17" ht="15" customHeight="1">
      <c r="A55" s="462" t="s">
        <v>53</v>
      </c>
      <c r="B55" s="487" t="s">
        <v>160</v>
      </c>
      <c r="C55" s="474" t="s">
        <v>55</v>
      </c>
      <c r="D55" s="126">
        <v>1036.9860000000003</v>
      </c>
      <c r="E55" s="126">
        <v>991.26150000000007</v>
      </c>
      <c r="F55" s="359"/>
      <c r="G55" s="468"/>
      <c r="H55" s="823"/>
      <c r="I55" s="465" t="s">
        <v>56</v>
      </c>
      <c r="J55" s="463" t="s">
        <v>161</v>
      </c>
      <c r="K55" s="500">
        <f t="shared" si="8"/>
        <v>96.72</v>
      </c>
      <c r="L55" s="500">
        <f t="shared" si="9"/>
        <v>47.999999999999993</v>
      </c>
      <c r="M55" s="359"/>
      <c r="N55" s="476" t="s">
        <v>393</v>
      </c>
      <c r="O55" s="479" t="s">
        <v>394</v>
      </c>
      <c r="P55" s="498"/>
      <c r="Q55" s="498"/>
    </row>
    <row r="56" spans="1:17" ht="15">
      <c r="A56" s="481"/>
      <c r="B56" s="488" t="s">
        <v>161</v>
      </c>
      <c r="C56" s="474" t="s">
        <v>56</v>
      </c>
      <c r="D56" s="126">
        <v>96.72</v>
      </c>
      <c r="E56" s="126">
        <v>47.999999999999993</v>
      </c>
      <c r="F56" s="343"/>
      <c r="G56" s="468"/>
      <c r="H56" s="823"/>
      <c r="I56" s="465" t="s">
        <v>57</v>
      </c>
      <c r="J56" s="463" t="s">
        <v>162</v>
      </c>
      <c r="K56" s="500">
        <f t="shared" si="8"/>
        <v>0</v>
      </c>
      <c r="L56" s="500">
        <f t="shared" si="9"/>
        <v>0</v>
      </c>
      <c r="M56" s="343"/>
      <c r="N56" s="476" t="s">
        <v>395</v>
      </c>
      <c r="O56" s="479" t="s">
        <v>396</v>
      </c>
      <c r="P56" s="498"/>
      <c r="Q56" s="498"/>
    </row>
    <row r="57" spans="1:17" ht="15">
      <c r="A57" s="481"/>
      <c r="B57" s="488" t="s">
        <v>162</v>
      </c>
      <c r="C57" s="474" t="s">
        <v>57</v>
      </c>
      <c r="D57" s="126">
        <v>0</v>
      </c>
      <c r="E57" s="126">
        <v>0</v>
      </c>
      <c r="F57" s="343"/>
      <c r="G57" s="468"/>
      <c r="H57" s="823"/>
      <c r="I57" s="465" t="s">
        <v>120</v>
      </c>
      <c r="J57" s="463" t="s">
        <v>119</v>
      </c>
      <c r="K57" s="500">
        <f t="shared" si="8"/>
        <v>0</v>
      </c>
      <c r="L57" s="500">
        <f t="shared" si="9"/>
        <v>0</v>
      </c>
      <c r="M57" s="343"/>
      <c r="N57" s="72"/>
      <c r="O57" s="73" t="s">
        <v>408</v>
      </c>
      <c r="P57" s="117"/>
      <c r="Q57" s="118"/>
    </row>
    <row r="58" spans="1:17" ht="15">
      <c r="A58" s="481"/>
      <c r="B58" s="488" t="s">
        <v>119</v>
      </c>
      <c r="C58" s="474" t="s">
        <v>120</v>
      </c>
      <c r="D58" s="126">
        <v>0</v>
      </c>
      <c r="E58" s="126">
        <v>0</v>
      </c>
      <c r="F58" s="343"/>
      <c r="G58" s="468"/>
      <c r="H58" s="823"/>
      <c r="I58" s="465" t="s">
        <v>122</v>
      </c>
      <c r="J58" s="463" t="s">
        <v>121</v>
      </c>
      <c r="K58" s="500">
        <f t="shared" si="8"/>
        <v>0</v>
      </c>
      <c r="L58" s="500">
        <f t="shared" si="9"/>
        <v>0</v>
      </c>
      <c r="M58" s="343"/>
      <c r="N58" s="470">
        <v>1</v>
      </c>
      <c r="O58" s="463" t="s">
        <v>397</v>
      </c>
      <c r="P58" s="133">
        <f t="shared" ref="P58:Q58" si="10">SUM(K23:K24,K29:K30)</f>
        <v>1.4750000000000001</v>
      </c>
      <c r="Q58" s="133">
        <f t="shared" si="10"/>
        <v>0.02</v>
      </c>
    </row>
    <row r="59" spans="1:17" ht="15">
      <c r="A59" s="481"/>
      <c r="B59" s="488" t="s">
        <v>121</v>
      </c>
      <c r="C59" s="474" t="s">
        <v>122</v>
      </c>
      <c r="D59" s="126">
        <v>0</v>
      </c>
      <c r="E59" s="126">
        <v>0</v>
      </c>
      <c r="F59" s="343"/>
      <c r="G59" s="468"/>
      <c r="H59" s="823"/>
      <c r="I59" s="465" t="s">
        <v>124</v>
      </c>
      <c r="J59" s="463" t="s">
        <v>123</v>
      </c>
      <c r="K59" s="500">
        <f t="shared" si="8"/>
        <v>0</v>
      </c>
      <c r="L59" s="500">
        <f t="shared" si="9"/>
        <v>0</v>
      </c>
      <c r="M59" s="343"/>
      <c r="N59" s="470">
        <v>2</v>
      </c>
      <c r="O59" s="463" t="s">
        <v>398</v>
      </c>
      <c r="P59" s="133">
        <f t="shared" ref="P59:Q59" si="11">SUM(K31:K33,K36)</f>
        <v>8233.8817799999997</v>
      </c>
      <c r="Q59" s="133">
        <f t="shared" si="11"/>
        <v>11959.483500000013</v>
      </c>
    </row>
    <row r="60" spans="1:17" ht="15">
      <c r="A60" s="481"/>
      <c r="B60" s="488" t="s">
        <v>123</v>
      </c>
      <c r="C60" s="474" t="s">
        <v>124</v>
      </c>
      <c r="D60" s="126">
        <v>0</v>
      </c>
      <c r="E60" s="126">
        <v>0</v>
      </c>
      <c r="F60" s="343"/>
      <c r="G60" s="468"/>
      <c r="H60" s="823"/>
      <c r="I60" s="465" t="s">
        <v>58</v>
      </c>
      <c r="J60" s="463" t="s">
        <v>136</v>
      </c>
      <c r="K60" s="500">
        <f t="shared" si="8"/>
        <v>39.077000000000005</v>
      </c>
      <c r="L60" s="500">
        <f t="shared" si="9"/>
        <v>10.1425</v>
      </c>
      <c r="M60" s="343"/>
      <c r="N60" s="470">
        <v>3</v>
      </c>
      <c r="O60" s="463" t="s">
        <v>323</v>
      </c>
      <c r="P60" s="133">
        <f t="shared" ref="P60:Q60" si="12">SUM(K60:K63)</f>
        <v>4177.5835999999999</v>
      </c>
      <c r="Q60" s="133">
        <f t="shared" si="12"/>
        <v>5509.0152100000005</v>
      </c>
    </row>
    <row r="61" spans="1:17" ht="15">
      <c r="A61" s="481"/>
      <c r="B61" s="463" t="s">
        <v>136</v>
      </c>
      <c r="C61" s="474" t="s">
        <v>58</v>
      </c>
      <c r="D61" s="126">
        <v>39.077000000000005</v>
      </c>
      <c r="E61" s="126">
        <v>10.1425</v>
      </c>
      <c r="F61" s="343"/>
      <c r="G61" s="468"/>
      <c r="H61" s="823"/>
      <c r="I61" s="465" t="s">
        <v>59</v>
      </c>
      <c r="J61" s="463" t="s">
        <v>125</v>
      </c>
      <c r="K61" s="500">
        <f t="shared" si="8"/>
        <v>0</v>
      </c>
      <c r="L61" s="500">
        <f t="shared" si="9"/>
        <v>0</v>
      </c>
      <c r="M61" s="343"/>
      <c r="N61" s="470">
        <v>4</v>
      </c>
      <c r="O61" s="463" t="s">
        <v>159</v>
      </c>
      <c r="P61" s="122">
        <f t="shared" ref="P61:Q61" si="13">SUM(K50:K53)</f>
        <v>59.706499999999998</v>
      </c>
      <c r="Q61" s="122">
        <f t="shared" si="13"/>
        <v>723.57949999999994</v>
      </c>
    </row>
    <row r="62" spans="1:17" ht="31.5" customHeight="1">
      <c r="A62" s="481"/>
      <c r="B62" s="488" t="s">
        <v>125</v>
      </c>
      <c r="C62" s="474" t="s">
        <v>59</v>
      </c>
      <c r="D62" s="126">
        <v>0</v>
      </c>
      <c r="E62" s="126">
        <v>0</v>
      </c>
      <c r="F62" s="343"/>
      <c r="G62" s="468"/>
      <c r="H62" s="823"/>
      <c r="I62" s="465" t="s">
        <v>60</v>
      </c>
      <c r="J62" s="487" t="s">
        <v>163</v>
      </c>
      <c r="K62" s="500">
        <f t="shared" si="8"/>
        <v>4138.5065999999997</v>
      </c>
      <c r="L62" s="500">
        <f t="shared" si="9"/>
        <v>5498.5282100000004</v>
      </c>
      <c r="M62" s="343"/>
      <c r="N62" s="470">
        <v>5</v>
      </c>
      <c r="O62" s="487" t="s">
        <v>399</v>
      </c>
      <c r="P62" s="122">
        <f>K64</f>
        <v>6724.4284200000066</v>
      </c>
      <c r="Q62" s="500">
        <f>L64</f>
        <v>7210.8001489999851</v>
      </c>
    </row>
    <row r="63" spans="1:17" ht="15" customHeight="1">
      <c r="A63" s="481"/>
      <c r="B63" s="487" t="s">
        <v>163</v>
      </c>
      <c r="C63" s="474" t="s">
        <v>60</v>
      </c>
      <c r="D63" s="126">
        <v>4138.5065999999997</v>
      </c>
      <c r="E63" s="126">
        <v>5498.5282100000004</v>
      </c>
      <c r="F63" s="343"/>
      <c r="G63" s="469"/>
      <c r="H63" s="824"/>
      <c r="I63" s="465" t="s">
        <v>61</v>
      </c>
      <c r="J63" s="463" t="s">
        <v>126</v>
      </c>
      <c r="K63" s="500">
        <f t="shared" si="8"/>
        <v>0</v>
      </c>
      <c r="L63" s="500">
        <f t="shared" si="9"/>
        <v>0.34449999999999997</v>
      </c>
      <c r="M63" s="343"/>
      <c r="N63" s="470">
        <v>6</v>
      </c>
      <c r="O63" s="487" t="s">
        <v>468</v>
      </c>
      <c r="P63" s="122">
        <f t="shared" ref="P63:Q63" si="14">K65</f>
        <v>17019.46710999999</v>
      </c>
      <c r="Q63" s="122">
        <f t="shared" si="14"/>
        <v>62895.686919999949</v>
      </c>
    </row>
    <row r="64" spans="1:17" ht="15">
      <c r="A64" s="489"/>
      <c r="B64" s="488" t="s">
        <v>126</v>
      </c>
      <c r="C64" s="474" t="s">
        <v>61</v>
      </c>
      <c r="D64" s="126">
        <v>0</v>
      </c>
      <c r="E64" s="126">
        <v>0.34449999999999997</v>
      </c>
      <c r="F64" s="343"/>
      <c r="G64" s="462" t="s">
        <v>62</v>
      </c>
      <c r="H64" s="822" t="s">
        <v>164</v>
      </c>
      <c r="I64" s="465" t="s">
        <v>63</v>
      </c>
      <c r="J64" s="463" t="s">
        <v>165</v>
      </c>
      <c r="K64" s="498">
        <f t="shared" si="8"/>
        <v>6724.4284200000066</v>
      </c>
      <c r="L64" s="498">
        <f t="shared" si="9"/>
        <v>7210.8001489999851</v>
      </c>
      <c r="M64" s="343"/>
      <c r="N64" s="470">
        <v>7</v>
      </c>
      <c r="O64" s="248" t="s">
        <v>469</v>
      </c>
      <c r="P64" s="122">
        <f t="shared" ref="P64:Q64" si="15">SUM(K66,K69)</f>
        <v>1370.9820000000002</v>
      </c>
      <c r="Q64" s="122">
        <f t="shared" si="15"/>
        <v>1800.2640000000001</v>
      </c>
    </row>
    <row r="65" spans="1:17" ht="15">
      <c r="A65" s="462" t="s">
        <v>62</v>
      </c>
      <c r="B65" s="488" t="s">
        <v>674</v>
      </c>
      <c r="C65" s="474" t="s">
        <v>63</v>
      </c>
      <c r="D65" s="498">
        <v>6724.4284200000066</v>
      </c>
      <c r="E65" s="498">
        <v>7210.8001489999851</v>
      </c>
      <c r="F65" s="343"/>
      <c r="G65" s="468"/>
      <c r="H65" s="823"/>
      <c r="I65" s="465" t="s">
        <v>64</v>
      </c>
      <c r="J65" s="463" t="s">
        <v>127</v>
      </c>
      <c r="K65" s="498">
        <f t="shared" si="8"/>
        <v>17019.46710999999</v>
      </c>
      <c r="L65" s="498">
        <f t="shared" si="9"/>
        <v>62895.686919999949</v>
      </c>
      <c r="M65" s="343"/>
      <c r="N65" s="470">
        <v>8</v>
      </c>
      <c r="O65" s="463" t="s">
        <v>133</v>
      </c>
      <c r="P65" s="122">
        <f>K78</f>
        <v>690.29999999999984</v>
      </c>
      <c r="Q65" s="500">
        <f>L78</f>
        <v>716.24</v>
      </c>
    </row>
    <row r="66" spans="1:17" ht="15">
      <c r="A66" s="468"/>
      <c r="B66" s="485" t="s">
        <v>678</v>
      </c>
      <c r="C66" s="490" t="s">
        <v>64</v>
      </c>
      <c r="D66" s="498">
        <v>17019.46710999999</v>
      </c>
      <c r="E66" s="498">
        <v>62895.686919999949</v>
      </c>
      <c r="F66" s="343"/>
      <c r="G66" s="468"/>
      <c r="H66" s="823"/>
      <c r="I66" s="465" t="s">
        <v>65</v>
      </c>
      <c r="J66" s="463" t="s">
        <v>166</v>
      </c>
      <c r="K66" s="500">
        <f t="shared" si="8"/>
        <v>250.75999999999996</v>
      </c>
      <c r="L66" s="500">
        <f t="shared" si="9"/>
        <v>4.1899999999999995</v>
      </c>
      <c r="M66" s="343"/>
    </row>
    <row r="67" spans="1:17">
      <c r="A67" s="468"/>
      <c r="B67" s="488" t="s">
        <v>166</v>
      </c>
      <c r="C67" s="490" t="s">
        <v>65</v>
      </c>
      <c r="D67" s="126">
        <v>250.75999999999996</v>
      </c>
      <c r="E67" s="126">
        <v>4.1899999999999995</v>
      </c>
      <c r="F67" s="461"/>
      <c r="G67" s="468"/>
      <c r="H67" s="823"/>
      <c r="I67" s="465" t="s">
        <v>66</v>
      </c>
      <c r="J67" s="463" t="s">
        <v>173</v>
      </c>
      <c r="K67" s="500">
        <f t="shared" ref="K67:K79" si="16">IF(ISNUMBER(D68),D68,"")</f>
        <v>0</v>
      </c>
      <c r="L67" s="500">
        <f t="shared" ref="L67:L79" si="17">IF(ISNUMBER(E68),E68,"")</f>
        <v>0</v>
      </c>
      <c r="M67" s="461"/>
    </row>
    <row r="68" spans="1:17" ht="15">
      <c r="A68" s="468"/>
      <c r="B68" s="485" t="s">
        <v>578</v>
      </c>
      <c r="C68" s="490" t="s">
        <v>66</v>
      </c>
      <c r="D68" s="126">
        <v>0</v>
      </c>
      <c r="E68" s="126">
        <v>0</v>
      </c>
      <c r="F68" s="343"/>
      <c r="G68" s="468"/>
      <c r="H68" s="823"/>
      <c r="I68" s="465" t="s">
        <v>67</v>
      </c>
      <c r="J68" s="463" t="s">
        <v>174</v>
      </c>
      <c r="K68" s="500">
        <f t="shared" si="16"/>
        <v>12832.73000000001</v>
      </c>
      <c r="L68" s="500">
        <f t="shared" si="17"/>
        <v>9741.1300000000028</v>
      </c>
      <c r="M68" s="343"/>
    </row>
    <row r="69" spans="1:17" ht="15">
      <c r="A69" s="468"/>
      <c r="B69" s="488" t="s">
        <v>174</v>
      </c>
      <c r="C69" s="474" t="s">
        <v>67</v>
      </c>
      <c r="D69" s="126">
        <v>12832.73000000001</v>
      </c>
      <c r="E69" s="126">
        <v>9741.1300000000028</v>
      </c>
      <c r="F69" s="343"/>
      <c r="G69" s="468"/>
      <c r="H69" s="823"/>
      <c r="I69" s="465" t="s">
        <v>68</v>
      </c>
      <c r="J69" s="463" t="s">
        <v>175</v>
      </c>
      <c r="K69" s="500">
        <f t="shared" si="16"/>
        <v>1120.2220000000002</v>
      </c>
      <c r="L69" s="500">
        <f t="shared" si="17"/>
        <v>1796.0740000000001</v>
      </c>
      <c r="M69" s="343"/>
    </row>
    <row r="70" spans="1:17" ht="15">
      <c r="A70" s="468"/>
      <c r="B70" s="488" t="s">
        <v>419</v>
      </c>
      <c r="C70" s="474" t="s">
        <v>68</v>
      </c>
      <c r="D70" s="126">
        <v>1120.2220000000002</v>
      </c>
      <c r="E70" s="126">
        <v>1796.0740000000001</v>
      </c>
      <c r="F70" s="343"/>
      <c r="G70" s="468"/>
      <c r="H70" s="823"/>
      <c r="I70" s="465" t="s">
        <v>128</v>
      </c>
      <c r="J70" s="463" t="s">
        <v>167</v>
      </c>
      <c r="K70" s="498">
        <f t="shared" si="16"/>
        <v>10936.570860000005</v>
      </c>
      <c r="L70" s="498">
        <f t="shared" si="17"/>
        <v>12024.339860000009</v>
      </c>
      <c r="M70" s="343"/>
    </row>
    <row r="71" spans="1:17" ht="15">
      <c r="A71" s="468"/>
      <c r="B71" s="488" t="s">
        <v>167</v>
      </c>
      <c r="C71" s="474" t="s">
        <v>128</v>
      </c>
      <c r="D71" s="126">
        <v>10936.570860000005</v>
      </c>
      <c r="E71" s="126">
        <v>12024.339860000009</v>
      </c>
      <c r="F71" s="343"/>
      <c r="G71" s="468"/>
      <c r="H71" s="823"/>
      <c r="I71" s="465" t="s">
        <v>69</v>
      </c>
      <c r="J71" s="463" t="s">
        <v>129</v>
      </c>
      <c r="K71" s="498">
        <f t="shared" si="16"/>
        <v>18.432899999999997</v>
      </c>
      <c r="L71" s="498">
        <f t="shared" si="17"/>
        <v>43.804999999999993</v>
      </c>
      <c r="M71" s="343"/>
    </row>
    <row r="72" spans="1:17" ht="15">
      <c r="A72" s="468"/>
      <c r="B72" s="488" t="s">
        <v>129</v>
      </c>
      <c r="C72" s="474" t="s">
        <v>69</v>
      </c>
      <c r="D72" s="498">
        <v>18.432899999999997</v>
      </c>
      <c r="E72" s="498">
        <v>43.804999999999993</v>
      </c>
      <c r="F72" s="343"/>
      <c r="G72" s="469"/>
      <c r="H72" s="824"/>
      <c r="I72" s="465" t="s">
        <v>70</v>
      </c>
      <c r="J72" s="463" t="s">
        <v>168</v>
      </c>
      <c r="K72" s="500">
        <f t="shared" si="16"/>
        <v>0</v>
      </c>
      <c r="L72" s="500">
        <f t="shared" si="17"/>
        <v>0</v>
      </c>
      <c r="M72" s="343"/>
    </row>
    <row r="73" spans="1:17" ht="15" customHeight="1">
      <c r="A73" s="469"/>
      <c r="B73" s="488" t="s">
        <v>168</v>
      </c>
      <c r="C73" s="472" t="s">
        <v>70</v>
      </c>
      <c r="D73" s="126">
        <v>0</v>
      </c>
      <c r="E73" s="126">
        <v>0</v>
      </c>
      <c r="F73" s="343"/>
      <c r="G73" s="462" t="s">
        <v>71</v>
      </c>
      <c r="H73" s="822" t="s">
        <v>169</v>
      </c>
      <c r="I73" s="465" t="s">
        <v>72</v>
      </c>
      <c r="J73" s="463" t="s">
        <v>170</v>
      </c>
      <c r="K73" s="498">
        <f t="shared" si="16"/>
        <v>165.4323</v>
      </c>
      <c r="L73" s="498">
        <f t="shared" si="17"/>
        <v>54.491500000000073</v>
      </c>
      <c r="M73" s="343"/>
    </row>
    <row r="74" spans="1:17">
      <c r="A74" s="462" t="s">
        <v>71</v>
      </c>
      <c r="B74" s="488" t="s">
        <v>170</v>
      </c>
      <c r="C74" s="478" t="s">
        <v>72</v>
      </c>
      <c r="D74" s="498">
        <v>165.4323</v>
      </c>
      <c r="E74" s="498">
        <v>54.491500000000073</v>
      </c>
      <c r="F74" s="461"/>
      <c r="G74" s="468"/>
      <c r="H74" s="823"/>
      <c r="I74" s="465" t="s">
        <v>73</v>
      </c>
      <c r="J74" s="463" t="s">
        <v>130</v>
      </c>
      <c r="K74" s="498">
        <f t="shared" si="16"/>
        <v>40.702000000000005</v>
      </c>
      <c r="L74" s="498">
        <f t="shared" si="17"/>
        <v>49.72399999999999</v>
      </c>
      <c r="M74" s="461"/>
    </row>
    <row r="75" spans="1:17" ht="15" customHeight="1">
      <c r="A75" s="468"/>
      <c r="B75" s="488" t="s">
        <v>130</v>
      </c>
      <c r="C75" s="478" t="s">
        <v>73</v>
      </c>
      <c r="D75" s="498">
        <v>40.702000000000005</v>
      </c>
      <c r="E75" s="498">
        <v>49.72399999999999</v>
      </c>
      <c r="F75" s="343"/>
      <c r="G75" s="469"/>
      <c r="H75" s="824"/>
      <c r="I75" s="465" t="s">
        <v>74</v>
      </c>
      <c r="J75" s="463" t="s">
        <v>131</v>
      </c>
      <c r="K75" s="500">
        <f t="shared" si="16"/>
        <v>182.66380000000004</v>
      </c>
      <c r="L75" s="500">
        <f t="shared" si="17"/>
        <v>188.49996000000004</v>
      </c>
      <c r="M75" s="343"/>
    </row>
    <row r="76" spans="1:17" ht="38.25">
      <c r="A76" s="469"/>
      <c r="B76" s="488" t="s">
        <v>131</v>
      </c>
      <c r="C76" s="478" t="s">
        <v>74</v>
      </c>
      <c r="D76" s="126">
        <v>182.66380000000004</v>
      </c>
      <c r="E76" s="126">
        <v>188.49996000000004</v>
      </c>
      <c r="F76" s="343"/>
      <c r="G76" s="462" t="s">
        <v>75</v>
      </c>
      <c r="H76" s="822" t="s">
        <v>76</v>
      </c>
      <c r="I76" s="465" t="s">
        <v>77</v>
      </c>
      <c r="J76" s="487" t="s">
        <v>171</v>
      </c>
      <c r="K76" s="500">
        <f t="shared" si="16"/>
        <v>1133.1767380000008</v>
      </c>
      <c r="L76" s="500">
        <f t="shared" si="17"/>
        <v>1215.225015</v>
      </c>
      <c r="M76" s="343"/>
    </row>
    <row r="77" spans="1:17" ht="25.5">
      <c r="A77" s="462" t="s">
        <v>75</v>
      </c>
      <c r="B77" s="491" t="s">
        <v>171</v>
      </c>
      <c r="C77" s="474" t="s">
        <v>77</v>
      </c>
      <c r="D77" s="126">
        <v>1133.1767380000008</v>
      </c>
      <c r="E77" s="126">
        <v>1215.225015</v>
      </c>
      <c r="F77" s="343"/>
      <c r="G77" s="468"/>
      <c r="H77" s="823"/>
      <c r="I77" s="465" t="s">
        <v>78</v>
      </c>
      <c r="J77" s="463" t="s">
        <v>132</v>
      </c>
      <c r="K77" s="500">
        <f t="shared" si="16"/>
        <v>84.731099999999984</v>
      </c>
      <c r="L77" s="500">
        <f t="shared" si="17"/>
        <v>59.213500000000025</v>
      </c>
      <c r="M77" s="343"/>
    </row>
    <row r="78" spans="1:17" ht="15">
      <c r="A78" s="481"/>
      <c r="B78" s="488" t="s">
        <v>132</v>
      </c>
      <c r="C78" s="474" t="s">
        <v>78</v>
      </c>
      <c r="D78" s="126">
        <v>84.731099999999984</v>
      </c>
      <c r="E78" s="126">
        <v>59.213500000000025</v>
      </c>
      <c r="F78" s="343"/>
      <c r="G78" s="468"/>
      <c r="H78" s="823"/>
      <c r="I78" s="465" t="s">
        <v>134</v>
      </c>
      <c r="J78" s="463" t="s">
        <v>133</v>
      </c>
      <c r="K78" s="498">
        <f t="shared" si="16"/>
        <v>690.29999999999984</v>
      </c>
      <c r="L78" s="498">
        <f t="shared" si="17"/>
        <v>716.24</v>
      </c>
      <c r="M78" s="343"/>
    </row>
    <row r="79" spans="1:17" ht="15">
      <c r="A79" s="481"/>
      <c r="B79" s="488" t="s">
        <v>133</v>
      </c>
      <c r="C79" s="474" t="s">
        <v>134</v>
      </c>
      <c r="D79" s="498">
        <v>690.29999999999984</v>
      </c>
      <c r="E79" s="498">
        <v>716.24</v>
      </c>
      <c r="F79" s="343"/>
      <c r="G79" s="469"/>
      <c r="H79" s="824"/>
      <c r="I79" s="465" t="s">
        <v>172</v>
      </c>
      <c r="J79" s="463" t="s">
        <v>135</v>
      </c>
      <c r="K79" s="500">
        <f t="shared" si="16"/>
        <v>0</v>
      </c>
      <c r="L79" s="500">
        <f t="shared" si="17"/>
        <v>0</v>
      </c>
      <c r="M79" s="343"/>
    </row>
    <row r="80" spans="1:17" ht="15">
      <c r="A80" s="489"/>
      <c r="B80" s="488" t="s">
        <v>135</v>
      </c>
      <c r="C80" s="474" t="s">
        <v>172</v>
      </c>
      <c r="D80" s="126">
        <v>0</v>
      </c>
      <c r="E80" s="126">
        <v>0</v>
      </c>
      <c r="F80" s="343"/>
      <c r="M80" s="343"/>
    </row>
    <row r="81" spans="2:13" ht="15" customHeight="1">
      <c r="E81" s="492"/>
      <c r="F81" s="343"/>
      <c r="M81" s="343"/>
    </row>
    <row r="82" spans="2:13" ht="15">
      <c r="E82" s="492"/>
      <c r="F82" s="492"/>
      <c r="M82" s="343"/>
    </row>
    <row r="83" spans="2:13" ht="15">
      <c r="E83" s="492"/>
      <c r="F83" s="492"/>
      <c r="M83" s="343"/>
    </row>
    <row r="84" spans="2:13" ht="15">
      <c r="E84" s="492"/>
      <c r="F84" s="492"/>
      <c r="M84" s="343"/>
    </row>
    <row r="85" spans="2:13" ht="15">
      <c r="E85" s="492"/>
      <c r="F85" s="492"/>
      <c r="M85" s="343"/>
    </row>
    <row r="86" spans="2:13" ht="15">
      <c r="E86" s="492"/>
      <c r="F86" s="492"/>
      <c r="M86" s="343"/>
    </row>
    <row r="87" spans="2:13" ht="15" customHeight="1">
      <c r="B87" s="493"/>
      <c r="D87" s="492"/>
      <c r="E87" s="492"/>
      <c r="F87" s="492"/>
      <c r="M87" s="343"/>
    </row>
    <row r="88" spans="2:13" ht="15">
      <c r="B88" s="493"/>
      <c r="E88" s="492"/>
      <c r="F88" s="492"/>
    </row>
    <row r="89" spans="2:13" ht="15">
      <c r="B89" s="493"/>
      <c r="E89" s="492"/>
      <c r="F89" s="492"/>
    </row>
    <row r="90" spans="2:13" ht="15">
      <c r="E90" s="492"/>
      <c r="F90" s="492"/>
    </row>
    <row r="91" spans="2:13" ht="15">
      <c r="E91" s="492"/>
      <c r="F91" s="492"/>
    </row>
    <row r="92" spans="2:13" ht="15">
      <c r="E92" s="492"/>
      <c r="F92" s="492"/>
    </row>
    <row r="93" spans="2:13" ht="15">
      <c r="E93" s="492"/>
      <c r="F93" s="492"/>
    </row>
    <row r="94" spans="2:13" ht="15">
      <c r="F94" s="492"/>
    </row>
  </sheetData>
  <mergeCells count="16">
    <mergeCell ref="P6:Q6"/>
    <mergeCell ref="A6:C6"/>
    <mergeCell ref="D6:E6"/>
    <mergeCell ref="G6:J6"/>
    <mergeCell ref="K6:L6"/>
    <mergeCell ref="N6:O6"/>
    <mergeCell ref="H76:H79"/>
    <mergeCell ref="H54:H63"/>
    <mergeCell ref="H64:H72"/>
    <mergeCell ref="H73:H75"/>
    <mergeCell ref="H8:H10"/>
    <mergeCell ref="H13:H36"/>
    <mergeCell ref="H38:H39"/>
    <mergeCell ref="H40:H43"/>
    <mergeCell ref="H44:H46"/>
    <mergeCell ref="H47:H49"/>
  </mergeCells>
  <conditionalFormatting sqref="D80:E80 D73:E73 D67:E71 D55:E64 D8:E49 D76:E78">
    <cfRule type="expression" dxfId="61" priority="14">
      <formula>ISNUMBER(D8)</formula>
    </cfRule>
  </conditionalFormatting>
  <pageMargins left="0.25" right="0.25" top="0.75" bottom="0.75" header="0.3" footer="0.3"/>
  <pageSetup paperSize="8" scale="28" orientation="portrait" r:id="rId1"/>
</worksheet>
</file>

<file path=xl/worksheets/sheet4.xml><?xml version="1.0" encoding="utf-8"?>
<worksheet xmlns="http://schemas.openxmlformats.org/spreadsheetml/2006/main" xmlns:r="http://schemas.openxmlformats.org/officeDocument/2006/relationships">
  <sheetPr>
    <tabColor rgb="FFFF0000"/>
  </sheetPr>
  <dimension ref="A1:X91"/>
  <sheetViews>
    <sheetView zoomScale="70" zoomScaleNormal="70" workbookViewId="0">
      <pane ySplit="7" topLeftCell="A8" activePane="bottomLeft" state="frozen"/>
      <selection pane="bottomLeft" activeCell="A8" sqref="A8"/>
    </sheetView>
  </sheetViews>
  <sheetFormatPr defaultRowHeight="12.75"/>
  <cols>
    <col min="1" max="1" width="5.7109375" style="375" customWidth="1"/>
    <col min="2" max="2" width="97.5703125" style="375" customWidth="1"/>
    <col min="3" max="3" width="11.28515625" style="375" customWidth="1"/>
    <col min="4" max="4" width="14.28515625" style="373" customWidth="1"/>
    <col min="5" max="5" width="13" style="373" customWidth="1"/>
    <col min="6" max="6" width="9.42578125" style="373" customWidth="1"/>
    <col min="7" max="7" width="9.140625" style="375"/>
    <col min="8" max="8" width="25" style="375" customWidth="1"/>
    <col min="9" max="9" width="9.140625" style="375"/>
    <col min="10" max="10" width="91.5703125" style="375" customWidth="1"/>
    <col min="11" max="11" width="14.28515625" style="375" bestFit="1" customWidth="1"/>
    <col min="12" max="12" width="12.28515625" style="375" customWidth="1"/>
    <col min="13" max="13" width="9.42578125" style="373" customWidth="1"/>
    <col min="14" max="14" width="9.7109375" style="375" bestFit="1" customWidth="1"/>
    <col min="15" max="15" width="70.28515625" style="375" customWidth="1"/>
    <col min="16" max="17" width="13.140625" style="375" bestFit="1" customWidth="1"/>
    <col min="18" max="16384" width="9.140625" style="375"/>
  </cols>
  <sheetData>
    <row r="1" spans="1:24" s="441" customFormat="1" ht="21">
      <c r="A1" s="446" t="s">
        <v>715</v>
      </c>
      <c r="E1" s="443"/>
      <c r="F1" s="443"/>
      <c r="G1" s="443"/>
      <c r="H1" s="443"/>
      <c r="I1" s="443"/>
      <c r="J1" s="445"/>
      <c r="K1" s="444"/>
      <c r="L1" s="444"/>
      <c r="M1" s="444"/>
      <c r="N1" s="445"/>
      <c r="O1" s="444"/>
      <c r="V1" s="443"/>
      <c r="W1" s="442"/>
      <c r="X1" s="442"/>
    </row>
    <row r="2" spans="1:24" s="362" customFormat="1" ht="15.75">
      <c r="A2" s="26" t="s">
        <v>670</v>
      </c>
      <c r="C2" s="219" t="s">
        <v>400</v>
      </c>
      <c r="D2" s="179"/>
      <c r="E2" s="177" t="s">
        <v>444</v>
      </c>
      <c r="H2" s="28"/>
      <c r="I2" s="29"/>
      <c r="J2" s="384"/>
      <c r="K2" s="28"/>
      <c r="M2" s="29"/>
      <c r="N2" s="384"/>
      <c r="P2" s="31"/>
      <c r="Q2" s="31"/>
      <c r="R2" s="31"/>
      <c r="V2" s="29"/>
    </row>
    <row r="3" spans="1:24" s="362" customFormat="1" ht="18.75">
      <c r="A3" s="502" t="s">
        <v>677</v>
      </c>
      <c r="B3" s="263"/>
      <c r="C3" s="171"/>
      <c r="D3" s="198"/>
      <c r="E3" s="177" t="s">
        <v>445</v>
      </c>
      <c r="I3" s="29"/>
      <c r="J3" s="384"/>
      <c r="M3" s="29"/>
      <c r="N3" s="384"/>
      <c r="V3" s="29"/>
    </row>
    <row r="4" spans="1:24" s="362" customFormat="1" ht="15.75">
      <c r="A4" s="757" t="s">
        <v>866</v>
      </c>
      <c r="B4" s="26"/>
      <c r="C4" s="171"/>
      <c r="D4" s="196"/>
      <c r="E4" s="177" t="s">
        <v>679</v>
      </c>
      <c r="I4" s="29"/>
      <c r="J4" s="384"/>
      <c r="M4" s="29"/>
      <c r="N4" s="384"/>
      <c r="P4" s="32"/>
      <c r="Q4" s="32"/>
      <c r="R4" s="32"/>
      <c r="V4" s="29"/>
    </row>
    <row r="5" spans="1:24" s="362" customFormat="1" ht="15.75">
      <c r="B5" s="26"/>
      <c r="C5" s="171"/>
      <c r="D5" s="217"/>
      <c r="E5" s="171" t="s">
        <v>611</v>
      </c>
      <c r="I5" s="29"/>
      <c r="J5" s="384"/>
      <c r="M5" s="29"/>
      <c r="N5" s="384"/>
      <c r="P5" s="32"/>
      <c r="Q5" s="32"/>
      <c r="R5" s="32"/>
      <c r="V5" s="29"/>
    </row>
    <row r="6" spans="1:24" ht="18.75" customHeight="1">
      <c r="A6" s="440" t="s">
        <v>669</v>
      </c>
      <c r="B6" s="439"/>
      <c r="C6" s="447"/>
      <c r="D6" s="832"/>
      <c r="E6" s="833"/>
      <c r="F6" s="35"/>
      <c r="G6" s="818" t="s">
        <v>402</v>
      </c>
      <c r="H6" s="819"/>
      <c r="I6" s="819"/>
      <c r="J6" s="811"/>
      <c r="K6" s="820" t="s">
        <v>401</v>
      </c>
      <c r="L6" s="821"/>
      <c r="M6" s="35"/>
      <c r="N6" s="810" t="s">
        <v>403</v>
      </c>
      <c r="O6" s="811"/>
      <c r="P6" s="812" t="s">
        <v>401</v>
      </c>
      <c r="Q6" s="813"/>
    </row>
    <row r="7" spans="1:24" ht="65.25" customHeight="1">
      <c r="A7" s="438" t="s">
        <v>0</v>
      </c>
      <c r="B7" s="437" t="s">
        <v>1</v>
      </c>
      <c r="C7" s="436" t="s">
        <v>2</v>
      </c>
      <c r="D7" s="435" t="s">
        <v>828</v>
      </c>
      <c r="E7" s="435">
        <v>2013</v>
      </c>
      <c r="F7" s="41"/>
      <c r="G7" s="747" t="s">
        <v>859</v>
      </c>
      <c r="H7" s="43" t="s">
        <v>409</v>
      </c>
      <c r="I7" s="747" t="s">
        <v>860</v>
      </c>
      <c r="J7" s="43" t="s">
        <v>404</v>
      </c>
      <c r="K7" s="42" t="s">
        <v>828</v>
      </c>
      <c r="L7" s="42">
        <v>2013</v>
      </c>
      <c r="M7" s="41"/>
      <c r="N7" s="44" t="s">
        <v>0</v>
      </c>
      <c r="O7" s="45" t="s">
        <v>406</v>
      </c>
      <c r="P7" s="46" t="s">
        <v>680</v>
      </c>
      <c r="Q7" s="46" t="s">
        <v>681</v>
      </c>
    </row>
    <row r="8" spans="1:24" ht="15">
      <c r="A8" s="415" t="s">
        <v>3</v>
      </c>
      <c r="B8" s="350" t="s">
        <v>79</v>
      </c>
      <c r="C8" s="344" t="s">
        <v>4</v>
      </c>
      <c r="D8" s="126"/>
      <c r="E8" s="126">
        <v>0</v>
      </c>
      <c r="F8" s="399"/>
      <c r="G8" s="398" t="s">
        <v>3</v>
      </c>
      <c r="H8" s="416" t="s">
        <v>137</v>
      </c>
      <c r="I8" s="344" t="s">
        <v>4</v>
      </c>
      <c r="J8" s="350" t="s">
        <v>79</v>
      </c>
      <c r="K8" s="80" t="str">
        <f>IF(ISNUMBER(D8),D8,"")</f>
        <v/>
      </c>
      <c r="L8" s="80">
        <f>IF(ISNUMBER(E8),E8,"")</f>
        <v>0</v>
      </c>
      <c r="M8" s="399"/>
      <c r="N8" s="430" t="s">
        <v>324</v>
      </c>
      <c r="O8" s="401" t="s">
        <v>325</v>
      </c>
      <c r="P8" s="420" t="str">
        <f>K73</f>
        <v/>
      </c>
      <c r="Q8" s="420">
        <f>L73</f>
        <v>297.42495349750158</v>
      </c>
    </row>
    <row r="9" spans="1:24" ht="15">
      <c r="A9" s="429"/>
      <c r="B9" s="350" t="s">
        <v>139</v>
      </c>
      <c r="C9" s="344" t="s">
        <v>138</v>
      </c>
      <c r="D9" s="126"/>
      <c r="E9" s="126">
        <v>0</v>
      </c>
      <c r="F9" s="399"/>
      <c r="G9" s="402"/>
      <c r="H9" s="428"/>
      <c r="I9" s="344" t="s">
        <v>138</v>
      </c>
      <c r="J9" s="350" t="s">
        <v>139</v>
      </c>
      <c r="K9" s="80" t="str">
        <f t="shared" ref="K9:L53" si="0">IF(ISNUMBER(D9),D9,"")</f>
        <v/>
      </c>
      <c r="L9" s="80">
        <f t="shared" si="0"/>
        <v>0</v>
      </c>
      <c r="M9" s="399"/>
      <c r="N9" s="430" t="s">
        <v>326</v>
      </c>
      <c r="O9" s="401" t="s">
        <v>327</v>
      </c>
      <c r="P9" s="420" t="str">
        <f>K75</f>
        <v/>
      </c>
      <c r="Q9" s="420">
        <f>L75</f>
        <v>0</v>
      </c>
    </row>
    <row r="10" spans="1:24" ht="15">
      <c r="A10" s="427"/>
      <c r="B10" s="350" t="s">
        <v>80</v>
      </c>
      <c r="C10" s="344" t="s">
        <v>81</v>
      </c>
      <c r="D10" s="126"/>
      <c r="E10" s="126">
        <v>0</v>
      </c>
      <c r="F10" s="399"/>
      <c r="G10" s="403"/>
      <c r="H10" s="426"/>
      <c r="I10" s="344" t="s">
        <v>81</v>
      </c>
      <c r="J10" s="350" t="s">
        <v>80</v>
      </c>
      <c r="K10" s="80" t="str">
        <f t="shared" si="0"/>
        <v/>
      </c>
      <c r="L10" s="80">
        <f t="shared" si="0"/>
        <v>0</v>
      </c>
      <c r="M10" s="399"/>
      <c r="N10" s="430" t="s">
        <v>328</v>
      </c>
      <c r="O10" s="401" t="s">
        <v>130</v>
      </c>
      <c r="P10" s="420" t="str">
        <f>K74</f>
        <v/>
      </c>
      <c r="Q10" s="420">
        <f>L74</f>
        <v>0</v>
      </c>
    </row>
    <row r="11" spans="1:24" ht="15">
      <c r="A11" s="344" t="s">
        <v>5</v>
      </c>
      <c r="B11" s="350" t="s">
        <v>82</v>
      </c>
      <c r="C11" s="344" t="s">
        <v>7</v>
      </c>
      <c r="D11" s="126"/>
      <c r="E11" s="126">
        <v>32.569310807190057</v>
      </c>
      <c r="F11" s="399"/>
      <c r="G11" s="404" t="s">
        <v>5</v>
      </c>
      <c r="H11" s="350" t="s">
        <v>6</v>
      </c>
      <c r="I11" s="344" t="s">
        <v>7</v>
      </c>
      <c r="J11" s="350" t="s">
        <v>82</v>
      </c>
      <c r="K11" s="80" t="str">
        <f t="shared" si="0"/>
        <v/>
      </c>
      <c r="L11" s="80">
        <f t="shared" si="0"/>
        <v>32.569310807190057</v>
      </c>
      <c r="M11" s="399"/>
      <c r="N11" s="430" t="s">
        <v>329</v>
      </c>
      <c r="O11" s="401" t="s">
        <v>330</v>
      </c>
      <c r="P11" s="421" t="str">
        <f>K44</f>
        <v/>
      </c>
      <c r="Q11" s="421">
        <f>L44</f>
        <v>0</v>
      </c>
    </row>
    <row r="12" spans="1:24" ht="15">
      <c r="A12" s="427" t="s">
        <v>8</v>
      </c>
      <c r="B12" s="350" t="s">
        <v>83</v>
      </c>
      <c r="C12" s="344" t="s">
        <v>9</v>
      </c>
      <c r="D12" s="126"/>
      <c r="E12" s="126">
        <v>302.96866597532119</v>
      </c>
      <c r="F12" s="399"/>
      <c r="G12" s="404" t="s">
        <v>8</v>
      </c>
      <c r="H12" s="350" t="s">
        <v>140</v>
      </c>
      <c r="I12" s="344" t="s">
        <v>9</v>
      </c>
      <c r="J12" s="350" t="s">
        <v>83</v>
      </c>
      <c r="K12" s="80" t="str">
        <f t="shared" si="0"/>
        <v/>
      </c>
      <c r="L12" s="80">
        <f t="shared" si="0"/>
        <v>302.96866597532119</v>
      </c>
      <c r="M12" s="399"/>
      <c r="N12" s="430" t="s">
        <v>331</v>
      </c>
      <c r="O12" s="401" t="s">
        <v>332</v>
      </c>
      <c r="P12" s="421" t="str">
        <f>K46</f>
        <v/>
      </c>
      <c r="Q12" s="421">
        <f>L46</f>
        <v>0</v>
      </c>
    </row>
    <row r="13" spans="1:24" ht="15">
      <c r="A13" s="415" t="s">
        <v>10</v>
      </c>
      <c r="B13" s="350" t="s">
        <v>84</v>
      </c>
      <c r="C13" s="344" t="s">
        <v>12</v>
      </c>
      <c r="D13" s="126"/>
      <c r="E13" s="126">
        <v>66.548445046239408</v>
      </c>
      <c r="F13" s="399"/>
      <c r="G13" s="405" t="s">
        <v>10</v>
      </c>
      <c r="H13" s="416" t="s">
        <v>11</v>
      </c>
      <c r="I13" s="344" t="s">
        <v>12</v>
      </c>
      <c r="J13" s="350" t="s">
        <v>84</v>
      </c>
      <c r="K13" s="80" t="str">
        <f t="shared" si="0"/>
        <v/>
      </c>
      <c r="L13" s="80">
        <f t="shared" si="0"/>
        <v>66.548445046239408</v>
      </c>
      <c r="M13" s="399"/>
      <c r="N13" s="430" t="s">
        <v>333</v>
      </c>
      <c r="O13" s="401" t="s">
        <v>334</v>
      </c>
      <c r="P13" s="421" t="str">
        <f>K43</f>
        <v/>
      </c>
      <c r="Q13" s="421">
        <f>L43</f>
        <v>0</v>
      </c>
    </row>
    <row r="14" spans="1:24" ht="15">
      <c r="A14" s="429"/>
      <c r="B14" s="350" t="s">
        <v>85</v>
      </c>
      <c r="C14" s="344" t="s">
        <v>13</v>
      </c>
      <c r="D14" s="126"/>
      <c r="E14" s="126">
        <v>0</v>
      </c>
      <c r="F14" s="399"/>
      <c r="G14" s="406"/>
      <c r="H14" s="428"/>
      <c r="I14" s="344" t="s">
        <v>13</v>
      </c>
      <c r="J14" s="350" t="s">
        <v>85</v>
      </c>
      <c r="K14" s="80" t="str">
        <f t="shared" si="0"/>
        <v/>
      </c>
      <c r="L14" s="80">
        <f t="shared" si="0"/>
        <v>0</v>
      </c>
      <c r="M14" s="399"/>
      <c r="N14" s="430" t="s">
        <v>335</v>
      </c>
      <c r="O14" s="401" t="s">
        <v>336</v>
      </c>
      <c r="P14" s="421" t="str">
        <f>K9</f>
        <v/>
      </c>
      <c r="Q14" s="421">
        <f>L9</f>
        <v>0</v>
      </c>
    </row>
    <row r="15" spans="1:24" ht="15">
      <c r="A15" s="429"/>
      <c r="B15" s="350" t="s">
        <v>86</v>
      </c>
      <c r="C15" s="344" t="s">
        <v>14</v>
      </c>
      <c r="D15" s="126"/>
      <c r="E15" s="126">
        <v>51.446607606661921</v>
      </c>
      <c r="F15" s="399"/>
      <c r="G15" s="406"/>
      <c r="H15" s="428"/>
      <c r="I15" s="344" t="s">
        <v>14</v>
      </c>
      <c r="J15" s="350" t="s">
        <v>86</v>
      </c>
      <c r="K15" s="80" t="str">
        <f t="shared" si="0"/>
        <v/>
      </c>
      <c r="L15" s="80">
        <f t="shared" si="0"/>
        <v>51.446607606661921</v>
      </c>
      <c r="M15" s="399"/>
      <c r="N15" s="430" t="s">
        <v>337</v>
      </c>
      <c r="O15" s="401" t="s">
        <v>322</v>
      </c>
      <c r="P15" s="421" t="str">
        <f t="shared" ref="P15:Q16" si="1">K47</f>
        <v/>
      </c>
      <c r="Q15" s="421">
        <f t="shared" si="1"/>
        <v>1392.4515397412958</v>
      </c>
    </row>
    <row r="16" spans="1:24" ht="15">
      <c r="A16" s="429"/>
      <c r="B16" s="350" t="s">
        <v>87</v>
      </c>
      <c r="C16" s="344" t="s">
        <v>15</v>
      </c>
      <c r="D16" s="126"/>
      <c r="E16" s="126">
        <v>0</v>
      </c>
      <c r="F16" s="399"/>
      <c r="G16" s="406"/>
      <c r="H16" s="428"/>
      <c r="I16" s="344" t="s">
        <v>15</v>
      </c>
      <c r="J16" s="350" t="s">
        <v>87</v>
      </c>
      <c r="K16" s="80" t="str">
        <f t="shared" si="0"/>
        <v/>
      </c>
      <c r="L16" s="80">
        <f t="shared" si="0"/>
        <v>0</v>
      </c>
      <c r="M16" s="399"/>
      <c r="N16" s="430" t="s">
        <v>338</v>
      </c>
      <c r="O16" s="401" t="s">
        <v>339</v>
      </c>
      <c r="P16" s="421" t="str">
        <f t="shared" si="1"/>
        <v/>
      </c>
      <c r="Q16" s="421">
        <f t="shared" si="1"/>
        <v>489.23262616757836</v>
      </c>
    </row>
    <row r="17" spans="1:17" ht="15">
      <c r="A17" s="429"/>
      <c r="B17" s="350" t="s">
        <v>88</v>
      </c>
      <c r="C17" s="344" t="s">
        <v>16</v>
      </c>
      <c r="D17" s="126"/>
      <c r="E17" s="126">
        <v>0</v>
      </c>
      <c r="F17" s="399"/>
      <c r="G17" s="406"/>
      <c r="H17" s="428"/>
      <c r="I17" s="344" t="s">
        <v>16</v>
      </c>
      <c r="J17" s="350" t="s">
        <v>88</v>
      </c>
      <c r="K17" s="80" t="str">
        <f t="shared" si="0"/>
        <v/>
      </c>
      <c r="L17" s="80">
        <f t="shared" si="0"/>
        <v>0</v>
      </c>
      <c r="M17" s="399"/>
      <c r="N17" s="430" t="s">
        <v>340</v>
      </c>
      <c r="O17" s="401" t="s">
        <v>341</v>
      </c>
      <c r="P17" s="421" t="str">
        <f>K54</f>
        <v/>
      </c>
      <c r="Q17" s="421">
        <f>L54</f>
        <v>168.46195245098306</v>
      </c>
    </row>
    <row r="18" spans="1:17" ht="15">
      <c r="A18" s="429"/>
      <c r="B18" s="350" t="s">
        <v>89</v>
      </c>
      <c r="C18" s="344" t="s">
        <v>17</v>
      </c>
      <c r="D18" s="126"/>
      <c r="E18" s="126">
        <v>0</v>
      </c>
      <c r="F18" s="399"/>
      <c r="G18" s="406"/>
      <c r="H18" s="428"/>
      <c r="I18" s="344" t="s">
        <v>17</v>
      </c>
      <c r="J18" s="350" t="s">
        <v>89</v>
      </c>
      <c r="K18" s="80" t="str">
        <f t="shared" si="0"/>
        <v/>
      </c>
      <c r="L18" s="80">
        <f t="shared" si="0"/>
        <v>0</v>
      </c>
      <c r="M18" s="399"/>
      <c r="N18" s="430" t="s">
        <v>342</v>
      </c>
      <c r="O18" s="401" t="s">
        <v>343</v>
      </c>
      <c r="P18" s="421" t="str">
        <f>K49</f>
        <v/>
      </c>
      <c r="Q18" s="421">
        <f>L49</f>
        <v>18.853401487067462</v>
      </c>
    </row>
    <row r="19" spans="1:17" ht="15">
      <c r="A19" s="429"/>
      <c r="B19" s="350" t="s">
        <v>90</v>
      </c>
      <c r="C19" s="344" t="s">
        <v>18</v>
      </c>
      <c r="D19" s="126"/>
      <c r="E19" s="126">
        <v>0</v>
      </c>
      <c r="F19" s="399"/>
      <c r="G19" s="406"/>
      <c r="H19" s="428"/>
      <c r="I19" s="344" t="s">
        <v>18</v>
      </c>
      <c r="J19" s="350" t="s">
        <v>90</v>
      </c>
      <c r="K19" s="80" t="str">
        <f t="shared" si="0"/>
        <v/>
      </c>
      <c r="L19" s="80">
        <f t="shared" si="0"/>
        <v>0</v>
      </c>
      <c r="M19" s="399"/>
      <c r="N19" s="430" t="s">
        <v>344</v>
      </c>
      <c r="O19" s="401" t="s">
        <v>345</v>
      </c>
      <c r="P19" s="421" t="str">
        <f t="shared" ref="P19:Q20" si="2">K38</f>
        <v/>
      </c>
      <c r="Q19" s="421">
        <f t="shared" si="2"/>
        <v>86.023124655821135</v>
      </c>
    </row>
    <row r="20" spans="1:17" ht="15">
      <c r="A20" s="429"/>
      <c r="B20" s="350" t="s">
        <v>141</v>
      </c>
      <c r="C20" s="344" t="s">
        <v>19</v>
      </c>
      <c r="D20" s="126"/>
      <c r="E20" s="126">
        <v>0</v>
      </c>
      <c r="F20" s="399"/>
      <c r="G20" s="406"/>
      <c r="H20" s="428"/>
      <c r="I20" s="344" t="s">
        <v>19</v>
      </c>
      <c r="J20" s="350" t="s">
        <v>141</v>
      </c>
      <c r="K20" s="80" t="str">
        <f t="shared" si="0"/>
        <v/>
      </c>
      <c r="L20" s="80">
        <f t="shared" si="0"/>
        <v>0</v>
      </c>
      <c r="M20" s="399"/>
      <c r="N20" s="430" t="s">
        <v>346</v>
      </c>
      <c r="O20" s="401" t="s">
        <v>347</v>
      </c>
      <c r="P20" s="421" t="str">
        <f t="shared" si="2"/>
        <v/>
      </c>
      <c r="Q20" s="421">
        <f t="shared" si="2"/>
        <v>2.054996866777949</v>
      </c>
    </row>
    <row r="21" spans="1:17" ht="15">
      <c r="A21" s="429"/>
      <c r="B21" s="350" t="s">
        <v>143</v>
      </c>
      <c r="C21" s="344" t="s">
        <v>142</v>
      </c>
      <c r="D21" s="126"/>
      <c r="E21" s="126">
        <v>0</v>
      </c>
      <c r="F21" s="399"/>
      <c r="G21" s="406"/>
      <c r="H21" s="428"/>
      <c r="I21" s="344" t="s">
        <v>142</v>
      </c>
      <c r="J21" s="350" t="s">
        <v>143</v>
      </c>
      <c r="K21" s="80" t="str">
        <f t="shared" si="0"/>
        <v/>
      </c>
      <c r="L21" s="80">
        <f t="shared" si="0"/>
        <v>0</v>
      </c>
      <c r="M21" s="399"/>
      <c r="N21" s="430" t="s">
        <v>348</v>
      </c>
      <c r="O21" s="401" t="s">
        <v>349</v>
      </c>
      <c r="P21" s="421" t="str">
        <f>K76</f>
        <v/>
      </c>
      <c r="Q21" s="421">
        <f>L76</f>
        <v>296.87536131220048</v>
      </c>
    </row>
    <row r="22" spans="1:17" ht="15">
      <c r="A22" s="429"/>
      <c r="B22" s="350" t="s">
        <v>91</v>
      </c>
      <c r="C22" s="344" t="s">
        <v>20</v>
      </c>
      <c r="D22" s="126"/>
      <c r="E22" s="126">
        <v>0</v>
      </c>
      <c r="F22" s="399"/>
      <c r="G22" s="406"/>
      <c r="H22" s="428"/>
      <c r="I22" s="344" t="s">
        <v>20</v>
      </c>
      <c r="J22" s="350" t="s">
        <v>91</v>
      </c>
      <c r="K22" s="80" t="str">
        <f t="shared" si="0"/>
        <v/>
      </c>
      <c r="L22" s="80">
        <f t="shared" si="0"/>
        <v>0</v>
      </c>
      <c r="M22" s="399"/>
      <c r="N22" s="430" t="s">
        <v>350</v>
      </c>
      <c r="O22" s="401" t="s">
        <v>351</v>
      </c>
      <c r="P22" s="421" t="e">
        <f>K79+K34+K35+K37</f>
        <v>#VALUE!</v>
      </c>
      <c r="Q22" s="421">
        <f>L79+L34+L35+L37</f>
        <v>0</v>
      </c>
    </row>
    <row r="23" spans="1:17" ht="15">
      <c r="A23" s="429"/>
      <c r="B23" s="350" t="s">
        <v>144</v>
      </c>
      <c r="C23" s="344" t="s">
        <v>21</v>
      </c>
      <c r="D23" s="126"/>
      <c r="E23" s="126">
        <v>0</v>
      </c>
      <c r="F23" s="399"/>
      <c r="G23" s="406"/>
      <c r="H23" s="428"/>
      <c r="I23" s="344" t="s">
        <v>21</v>
      </c>
      <c r="J23" s="350" t="s">
        <v>144</v>
      </c>
      <c r="K23" s="80" t="str">
        <f t="shared" si="0"/>
        <v/>
      </c>
      <c r="L23" s="80">
        <f t="shared" si="0"/>
        <v>0</v>
      </c>
      <c r="M23" s="399"/>
      <c r="N23" s="430" t="s">
        <v>352</v>
      </c>
      <c r="O23" s="401" t="s">
        <v>353</v>
      </c>
      <c r="P23" s="421" t="str">
        <f>K77</f>
        <v/>
      </c>
      <c r="Q23" s="421">
        <f>L77</f>
        <v>0</v>
      </c>
    </row>
    <row r="24" spans="1:17" ht="15">
      <c r="A24" s="429"/>
      <c r="B24" s="350" t="s">
        <v>92</v>
      </c>
      <c r="C24" s="344" t="s">
        <v>22</v>
      </c>
      <c r="D24" s="126"/>
      <c r="E24" s="126">
        <v>0</v>
      </c>
      <c r="F24" s="399"/>
      <c r="G24" s="406"/>
      <c r="H24" s="428"/>
      <c r="I24" s="344" t="s">
        <v>22</v>
      </c>
      <c r="J24" s="350" t="s">
        <v>92</v>
      </c>
      <c r="K24" s="80" t="str">
        <f t="shared" si="0"/>
        <v/>
      </c>
      <c r="L24" s="80">
        <f t="shared" si="0"/>
        <v>0</v>
      </c>
      <c r="M24" s="399"/>
      <c r="N24" s="430" t="s">
        <v>354</v>
      </c>
      <c r="O24" s="401" t="s">
        <v>355</v>
      </c>
      <c r="P24" s="421" t="str">
        <f>K8</f>
        <v/>
      </c>
      <c r="Q24" s="421">
        <f>L8</f>
        <v>0</v>
      </c>
    </row>
    <row r="25" spans="1:17" ht="15">
      <c r="A25" s="429"/>
      <c r="B25" s="350" t="s">
        <v>93</v>
      </c>
      <c r="C25" s="344" t="s">
        <v>23</v>
      </c>
      <c r="D25" s="126"/>
      <c r="E25" s="126">
        <v>979.15821639488399</v>
      </c>
      <c r="F25" s="399"/>
      <c r="G25" s="406"/>
      <c r="H25" s="428"/>
      <c r="I25" s="344" t="s">
        <v>23</v>
      </c>
      <c r="J25" s="350" t="s">
        <v>93</v>
      </c>
      <c r="K25" s="80" t="str">
        <f t="shared" si="0"/>
        <v/>
      </c>
      <c r="L25" s="80">
        <f t="shared" si="0"/>
        <v>979.15821639488399</v>
      </c>
      <c r="M25" s="399"/>
      <c r="N25" s="430" t="s">
        <v>356</v>
      </c>
      <c r="O25" s="401" t="s">
        <v>357</v>
      </c>
      <c r="P25" s="421" t="e">
        <f>K70+K67+K68+K72</f>
        <v>#VALUE!</v>
      </c>
      <c r="Q25" s="421">
        <f>L70+L67+L68+L72</f>
        <v>0</v>
      </c>
    </row>
    <row r="26" spans="1:17" ht="15" customHeight="1">
      <c r="A26" s="429"/>
      <c r="B26" s="350" t="s">
        <v>94</v>
      </c>
      <c r="C26" s="344" t="s">
        <v>24</v>
      </c>
      <c r="D26" s="126"/>
      <c r="E26" s="126">
        <v>0</v>
      </c>
      <c r="F26" s="399"/>
      <c r="G26" s="406"/>
      <c r="H26" s="428"/>
      <c r="I26" s="344" t="s">
        <v>24</v>
      </c>
      <c r="J26" s="350" t="s">
        <v>94</v>
      </c>
      <c r="K26" s="80" t="str">
        <f t="shared" si="0"/>
        <v/>
      </c>
      <c r="L26" s="80">
        <f t="shared" si="0"/>
        <v>0</v>
      </c>
      <c r="M26" s="399"/>
      <c r="N26" s="62"/>
      <c r="O26" s="63" t="s">
        <v>407</v>
      </c>
      <c r="P26" s="115"/>
      <c r="Q26" s="116"/>
    </row>
    <row r="27" spans="1:17" ht="15">
      <c r="A27" s="429"/>
      <c r="B27" s="350" t="s">
        <v>145</v>
      </c>
      <c r="C27" s="344" t="s">
        <v>25</v>
      </c>
      <c r="D27" s="126"/>
      <c r="E27" s="126">
        <v>0</v>
      </c>
      <c r="F27" s="399"/>
      <c r="G27" s="406"/>
      <c r="H27" s="428"/>
      <c r="I27" s="344" t="s">
        <v>25</v>
      </c>
      <c r="J27" s="350" t="s">
        <v>145</v>
      </c>
      <c r="K27" s="80" t="str">
        <f t="shared" si="0"/>
        <v/>
      </c>
      <c r="L27" s="80">
        <f t="shared" si="0"/>
        <v>0</v>
      </c>
      <c r="M27" s="399"/>
      <c r="N27" s="430" t="s">
        <v>358</v>
      </c>
      <c r="O27" s="407" t="s">
        <v>84</v>
      </c>
      <c r="P27" s="420" t="str">
        <f>K13</f>
        <v/>
      </c>
      <c r="Q27" s="420">
        <f>L13</f>
        <v>66.548445046239408</v>
      </c>
    </row>
    <row r="28" spans="1:17" ht="15">
      <c r="A28" s="429"/>
      <c r="B28" s="350" t="s">
        <v>147</v>
      </c>
      <c r="C28" s="344" t="s">
        <v>146</v>
      </c>
      <c r="D28" s="126"/>
      <c r="E28" s="126">
        <v>0</v>
      </c>
      <c r="F28" s="399"/>
      <c r="G28" s="406"/>
      <c r="H28" s="428"/>
      <c r="I28" s="344" t="s">
        <v>146</v>
      </c>
      <c r="J28" s="350" t="s">
        <v>147</v>
      </c>
      <c r="K28" s="80" t="str">
        <f t="shared" si="0"/>
        <v/>
      </c>
      <c r="L28" s="80">
        <f t="shared" si="0"/>
        <v>0</v>
      </c>
      <c r="M28" s="399"/>
      <c r="N28" s="430" t="s">
        <v>359</v>
      </c>
      <c r="O28" s="407" t="s">
        <v>90</v>
      </c>
      <c r="P28" s="420" t="str">
        <f>K19</f>
        <v/>
      </c>
      <c r="Q28" s="420">
        <f>L19</f>
        <v>0</v>
      </c>
    </row>
    <row r="29" spans="1:17" ht="15">
      <c r="A29" s="429"/>
      <c r="B29" s="350" t="s">
        <v>149</v>
      </c>
      <c r="C29" s="344" t="s">
        <v>148</v>
      </c>
      <c r="D29" s="126"/>
      <c r="E29" s="126">
        <v>0</v>
      </c>
      <c r="F29" s="399"/>
      <c r="G29" s="406"/>
      <c r="H29" s="428"/>
      <c r="I29" s="344" t="s">
        <v>148</v>
      </c>
      <c r="J29" s="350" t="s">
        <v>149</v>
      </c>
      <c r="K29" s="80" t="str">
        <f t="shared" si="0"/>
        <v/>
      </c>
      <c r="L29" s="80">
        <f t="shared" si="0"/>
        <v>0</v>
      </c>
      <c r="M29" s="399"/>
      <c r="N29" s="430" t="s">
        <v>360</v>
      </c>
      <c r="O29" s="407" t="s">
        <v>361</v>
      </c>
      <c r="P29" s="420" t="str">
        <f>K17</f>
        <v/>
      </c>
      <c r="Q29" s="420">
        <f>L17</f>
        <v>0</v>
      </c>
    </row>
    <row r="30" spans="1:17" ht="15">
      <c r="A30" s="429"/>
      <c r="B30" s="350" t="s">
        <v>150</v>
      </c>
      <c r="C30" s="344" t="s">
        <v>26</v>
      </c>
      <c r="D30" s="126"/>
      <c r="E30" s="126">
        <v>0</v>
      </c>
      <c r="F30" s="399"/>
      <c r="G30" s="406"/>
      <c r="H30" s="428"/>
      <c r="I30" s="344" t="s">
        <v>26</v>
      </c>
      <c r="J30" s="350" t="s">
        <v>150</v>
      </c>
      <c r="K30" s="80" t="str">
        <f t="shared" si="0"/>
        <v/>
      </c>
      <c r="L30" s="80">
        <f t="shared" si="0"/>
        <v>0</v>
      </c>
      <c r="M30" s="399"/>
      <c r="N30" s="430" t="s">
        <v>362</v>
      </c>
      <c r="O30" s="407" t="s">
        <v>91</v>
      </c>
      <c r="P30" s="420" t="str">
        <f>K22</f>
        <v/>
      </c>
      <c r="Q30" s="420">
        <f>L22</f>
        <v>0</v>
      </c>
    </row>
    <row r="31" spans="1:17" ht="15">
      <c r="A31" s="429"/>
      <c r="B31" s="350" t="s">
        <v>95</v>
      </c>
      <c r="C31" s="344" t="s">
        <v>27</v>
      </c>
      <c r="D31" s="126"/>
      <c r="E31" s="126">
        <v>0</v>
      </c>
      <c r="F31" s="399"/>
      <c r="G31" s="406"/>
      <c r="H31" s="428"/>
      <c r="I31" s="344" t="s">
        <v>27</v>
      </c>
      <c r="J31" s="350" t="s">
        <v>95</v>
      </c>
      <c r="K31" s="80" t="str">
        <f t="shared" si="0"/>
        <v/>
      </c>
      <c r="L31" s="80">
        <f t="shared" si="0"/>
        <v>0</v>
      </c>
      <c r="M31" s="399"/>
      <c r="N31" s="430" t="s">
        <v>363</v>
      </c>
      <c r="O31" s="407" t="s">
        <v>94</v>
      </c>
      <c r="P31" s="420" t="str">
        <f>K26</f>
        <v/>
      </c>
      <c r="Q31" s="420">
        <f>L26</f>
        <v>0</v>
      </c>
    </row>
    <row r="32" spans="1:17" ht="15">
      <c r="A32" s="429"/>
      <c r="B32" s="350" t="s">
        <v>96</v>
      </c>
      <c r="C32" s="344" t="s">
        <v>28</v>
      </c>
      <c r="D32" s="126"/>
      <c r="E32" s="126">
        <v>0</v>
      </c>
      <c r="F32" s="399"/>
      <c r="G32" s="406"/>
      <c r="H32" s="428"/>
      <c r="I32" s="344" t="s">
        <v>28</v>
      </c>
      <c r="J32" s="350" t="s">
        <v>96</v>
      </c>
      <c r="K32" s="80" t="str">
        <f t="shared" si="0"/>
        <v/>
      </c>
      <c r="L32" s="80">
        <f t="shared" si="0"/>
        <v>0</v>
      </c>
      <c r="M32" s="399"/>
      <c r="N32" s="430" t="s">
        <v>364</v>
      </c>
      <c r="O32" s="407" t="s">
        <v>87</v>
      </c>
      <c r="P32" s="420" t="str">
        <f>K16</f>
        <v/>
      </c>
      <c r="Q32" s="420">
        <f>L16</f>
        <v>0</v>
      </c>
    </row>
    <row r="33" spans="1:17" ht="15">
      <c r="A33" s="429"/>
      <c r="B33" s="350" t="s">
        <v>97</v>
      </c>
      <c r="C33" s="344" t="s">
        <v>29</v>
      </c>
      <c r="D33" s="126"/>
      <c r="E33" s="126">
        <v>0</v>
      </c>
      <c r="F33" s="399"/>
      <c r="G33" s="406"/>
      <c r="H33" s="428"/>
      <c r="I33" s="344" t="s">
        <v>29</v>
      </c>
      <c r="J33" s="350" t="s">
        <v>97</v>
      </c>
      <c r="K33" s="80" t="str">
        <f t="shared" si="0"/>
        <v/>
      </c>
      <c r="L33" s="80">
        <f t="shared" si="0"/>
        <v>0</v>
      </c>
      <c r="M33" s="399"/>
      <c r="N33" s="430" t="s">
        <v>365</v>
      </c>
      <c r="O33" s="407" t="s">
        <v>145</v>
      </c>
      <c r="P33" s="420" t="str">
        <f>K27</f>
        <v/>
      </c>
      <c r="Q33" s="420">
        <f>L27</f>
        <v>0</v>
      </c>
    </row>
    <row r="34" spans="1:17" ht="15">
      <c r="A34" s="429"/>
      <c r="B34" s="350" t="s">
        <v>98</v>
      </c>
      <c r="C34" s="344" t="s">
        <v>99</v>
      </c>
      <c r="D34" s="126"/>
      <c r="E34" s="126">
        <v>0</v>
      </c>
      <c r="F34" s="399"/>
      <c r="G34" s="406"/>
      <c r="H34" s="428"/>
      <c r="I34" s="344" t="s">
        <v>99</v>
      </c>
      <c r="J34" s="350" t="s">
        <v>98</v>
      </c>
      <c r="K34" s="80" t="str">
        <f t="shared" si="0"/>
        <v/>
      </c>
      <c r="L34" s="80">
        <f t="shared" si="0"/>
        <v>0</v>
      </c>
      <c r="M34" s="399"/>
      <c r="N34" s="430" t="s">
        <v>366</v>
      </c>
      <c r="O34" s="407" t="s">
        <v>89</v>
      </c>
      <c r="P34" s="420" t="str">
        <f>K18</f>
        <v/>
      </c>
      <c r="Q34" s="420">
        <f>L18</f>
        <v>0</v>
      </c>
    </row>
    <row r="35" spans="1:17" ht="15">
      <c r="A35" s="429"/>
      <c r="B35" s="350" t="s">
        <v>100</v>
      </c>
      <c r="C35" s="344" t="s">
        <v>101</v>
      </c>
      <c r="D35" s="126"/>
      <c r="E35" s="126">
        <v>0</v>
      </c>
      <c r="F35" s="399"/>
      <c r="G35" s="406"/>
      <c r="H35" s="428"/>
      <c r="I35" s="344" t="s">
        <v>101</v>
      </c>
      <c r="J35" s="350" t="s">
        <v>100</v>
      </c>
      <c r="K35" s="80" t="str">
        <f t="shared" si="0"/>
        <v/>
      </c>
      <c r="L35" s="80">
        <f t="shared" si="0"/>
        <v>0</v>
      </c>
      <c r="M35" s="399"/>
      <c r="N35" s="430" t="s">
        <v>367</v>
      </c>
      <c r="O35" s="407" t="s">
        <v>141</v>
      </c>
      <c r="P35" s="420" t="str">
        <f>K20</f>
        <v/>
      </c>
      <c r="Q35" s="420">
        <f>L20</f>
        <v>0</v>
      </c>
    </row>
    <row r="36" spans="1:17" ht="15">
      <c r="A36" s="429"/>
      <c r="B36" s="350" t="s">
        <v>151</v>
      </c>
      <c r="C36" s="344" t="s">
        <v>30</v>
      </c>
      <c r="D36" s="126"/>
      <c r="E36" s="126">
        <v>0</v>
      </c>
      <c r="F36" s="399"/>
      <c r="G36" s="408"/>
      <c r="H36" s="426"/>
      <c r="I36" s="344" t="s">
        <v>30</v>
      </c>
      <c r="J36" s="350" t="s">
        <v>151</v>
      </c>
      <c r="K36" s="80" t="str">
        <f t="shared" si="0"/>
        <v/>
      </c>
      <c r="L36" s="80">
        <f t="shared" si="0"/>
        <v>0</v>
      </c>
      <c r="M36" s="399"/>
      <c r="N36" s="430" t="s">
        <v>368</v>
      </c>
      <c r="O36" s="407" t="s">
        <v>147</v>
      </c>
      <c r="P36" s="420" t="str">
        <f>K28</f>
        <v/>
      </c>
      <c r="Q36" s="420">
        <f>L28</f>
        <v>0</v>
      </c>
    </row>
    <row r="37" spans="1:17" ht="15">
      <c r="A37" s="415" t="s">
        <v>31</v>
      </c>
      <c r="B37" s="350" t="s">
        <v>102</v>
      </c>
      <c r="C37" s="344" t="s">
        <v>33</v>
      </c>
      <c r="D37" s="126"/>
      <c r="E37" s="126">
        <v>0</v>
      </c>
      <c r="F37" s="399"/>
      <c r="G37" s="404" t="s">
        <v>31</v>
      </c>
      <c r="H37" s="350" t="s">
        <v>32</v>
      </c>
      <c r="I37" s="344" t="s">
        <v>33</v>
      </c>
      <c r="J37" s="350" t="s">
        <v>102</v>
      </c>
      <c r="K37" s="80" t="str">
        <f t="shared" si="0"/>
        <v/>
      </c>
      <c r="L37" s="80">
        <f t="shared" si="0"/>
        <v>0</v>
      </c>
      <c r="M37" s="399"/>
      <c r="N37" s="430" t="s">
        <v>369</v>
      </c>
      <c r="O37" s="407" t="s">
        <v>86</v>
      </c>
      <c r="P37" s="420" t="str">
        <f>K15</f>
        <v/>
      </c>
      <c r="Q37" s="420">
        <f>L15</f>
        <v>51.446607606661921</v>
      </c>
    </row>
    <row r="38" spans="1:17" ht="15">
      <c r="A38" s="415" t="s">
        <v>34</v>
      </c>
      <c r="B38" s="350" t="s">
        <v>103</v>
      </c>
      <c r="C38" s="344" t="s">
        <v>35</v>
      </c>
      <c r="D38" s="126"/>
      <c r="E38" s="126">
        <v>86.023124655821135</v>
      </c>
      <c r="F38" s="399"/>
      <c r="G38" s="405" t="s">
        <v>34</v>
      </c>
      <c r="H38" s="830" t="s">
        <v>152</v>
      </c>
      <c r="I38" s="344" t="s">
        <v>35</v>
      </c>
      <c r="J38" s="350" t="s">
        <v>103</v>
      </c>
      <c r="K38" s="80" t="str">
        <f t="shared" si="0"/>
        <v/>
      </c>
      <c r="L38" s="80">
        <f t="shared" si="0"/>
        <v>86.023124655821135</v>
      </c>
      <c r="M38" s="399"/>
      <c r="N38" s="430" t="s">
        <v>370</v>
      </c>
      <c r="O38" s="407" t="s">
        <v>143</v>
      </c>
      <c r="P38" s="420" t="str">
        <f>K21</f>
        <v/>
      </c>
      <c r="Q38" s="420">
        <f>L21</f>
        <v>0</v>
      </c>
    </row>
    <row r="39" spans="1:17" ht="15">
      <c r="A39" s="427"/>
      <c r="B39" s="350" t="s">
        <v>104</v>
      </c>
      <c r="C39" s="344" t="s">
        <v>105</v>
      </c>
      <c r="D39" s="126"/>
      <c r="E39" s="126">
        <v>2.054996866777949</v>
      </c>
      <c r="F39" s="399"/>
      <c r="G39" s="408"/>
      <c r="H39" s="831"/>
      <c r="I39" s="344" t="s">
        <v>105</v>
      </c>
      <c r="J39" s="350" t="s">
        <v>104</v>
      </c>
      <c r="K39" s="80" t="str">
        <f t="shared" si="0"/>
        <v/>
      </c>
      <c r="L39" s="80">
        <f t="shared" si="0"/>
        <v>2.054996866777949</v>
      </c>
      <c r="M39" s="399"/>
      <c r="N39" s="430" t="s">
        <v>371</v>
      </c>
      <c r="O39" s="407" t="s">
        <v>93</v>
      </c>
      <c r="P39" s="420" t="str">
        <f>K25</f>
        <v/>
      </c>
      <c r="Q39" s="420">
        <f>L25</f>
        <v>979.15821639488399</v>
      </c>
    </row>
    <row r="40" spans="1:17" ht="15">
      <c r="A40" s="429" t="s">
        <v>37</v>
      </c>
      <c r="B40" s="350" t="s">
        <v>106</v>
      </c>
      <c r="C40" s="344" t="s">
        <v>38</v>
      </c>
      <c r="D40" s="126"/>
      <c r="E40" s="126">
        <v>0</v>
      </c>
      <c r="F40" s="399"/>
      <c r="G40" s="405" t="s">
        <v>37</v>
      </c>
      <c r="H40" s="416" t="s">
        <v>153</v>
      </c>
      <c r="I40" s="344" t="s">
        <v>38</v>
      </c>
      <c r="J40" s="350" t="s">
        <v>106</v>
      </c>
      <c r="K40" s="80" t="str">
        <f t="shared" si="0"/>
        <v/>
      </c>
      <c r="L40" s="80">
        <f t="shared" si="0"/>
        <v>0</v>
      </c>
      <c r="M40" s="399"/>
      <c r="N40" s="430" t="s">
        <v>372</v>
      </c>
      <c r="O40" s="407" t="s">
        <v>85</v>
      </c>
      <c r="P40" s="420" t="str">
        <f>K14</f>
        <v/>
      </c>
      <c r="Q40" s="420">
        <f>L14</f>
        <v>0</v>
      </c>
    </row>
    <row r="41" spans="1:17" ht="15">
      <c r="A41" s="429"/>
      <c r="B41" s="350" t="s">
        <v>107</v>
      </c>
      <c r="C41" s="344" t="s">
        <v>39</v>
      </c>
      <c r="D41" s="126"/>
      <c r="E41" s="126">
        <v>16.559451496245568</v>
      </c>
      <c r="F41" s="399"/>
      <c r="G41" s="406"/>
      <c r="H41" s="428"/>
      <c r="I41" s="344" t="s">
        <v>39</v>
      </c>
      <c r="J41" s="350" t="s">
        <v>107</v>
      </c>
      <c r="K41" s="80" t="str">
        <f t="shared" si="0"/>
        <v/>
      </c>
      <c r="L41" s="80">
        <f t="shared" si="0"/>
        <v>16.559451496245568</v>
      </c>
      <c r="M41" s="399"/>
      <c r="N41" s="430" t="s">
        <v>373</v>
      </c>
      <c r="O41" s="407" t="s">
        <v>374</v>
      </c>
      <c r="P41" s="420" t="str">
        <f t="shared" ref="P41:Q43" si="3">K10</f>
        <v/>
      </c>
      <c r="Q41" s="420">
        <f t="shared" si="3"/>
        <v>0</v>
      </c>
    </row>
    <row r="42" spans="1:17" ht="15">
      <c r="A42" s="429"/>
      <c r="B42" s="350" t="s">
        <v>108</v>
      </c>
      <c r="C42" s="344" t="s">
        <v>40</v>
      </c>
      <c r="D42" s="126"/>
      <c r="E42" s="126">
        <v>2.1266828039911334</v>
      </c>
      <c r="F42" s="399"/>
      <c r="G42" s="406"/>
      <c r="H42" s="428"/>
      <c r="I42" s="344" t="s">
        <v>40</v>
      </c>
      <c r="J42" s="350" t="s">
        <v>108</v>
      </c>
      <c r="K42" s="80" t="str">
        <f t="shared" si="0"/>
        <v/>
      </c>
      <c r="L42" s="80">
        <f t="shared" si="0"/>
        <v>2.1266828039911334</v>
      </c>
      <c r="M42" s="399"/>
      <c r="N42" s="430" t="s">
        <v>375</v>
      </c>
      <c r="O42" s="407" t="s">
        <v>82</v>
      </c>
      <c r="P42" s="421" t="str">
        <f t="shared" si="3"/>
        <v/>
      </c>
      <c r="Q42" s="421">
        <f t="shared" si="3"/>
        <v>32.569310807190057</v>
      </c>
    </row>
    <row r="43" spans="1:17" ht="15">
      <c r="A43" s="427"/>
      <c r="B43" s="350" t="s">
        <v>109</v>
      </c>
      <c r="C43" s="344" t="s">
        <v>41</v>
      </c>
      <c r="D43" s="126"/>
      <c r="E43" s="126">
        <v>0</v>
      </c>
      <c r="F43" s="399"/>
      <c r="G43" s="408"/>
      <c r="H43" s="426"/>
      <c r="I43" s="344" t="s">
        <v>41</v>
      </c>
      <c r="J43" s="350" t="s">
        <v>109</v>
      </c>
      <c r="K43" s="80" t="str">
        <f t="shared" si="0"/>
        <v/>
      </c>
      <c r="L43" s="80">
        <f t="shared" si="0"/>
        <v>0</v>
      </c>
      <c r="M43" s="399"/>
      <c r="N43" s="430" t="s">
        <v>376</v>
      </c>
      <c r="O43" s="407" t="s">
        <v>83</v>
      </c>
      <c r="P43" s="421" t="str">
        <f t="shared" si="3"/>
        <v/>
      </c>
      <c r="Q43" s="421">
        <f t="shared" si="3"/>
        <v>302.96866597532119</v>
      </c>
    </row>
    <row r="44" spans="1:17" ht="15">
      <c r="A44" s="429" t="s">
        <v>42</v>
      </c>
      <c r="B44" s="350" t="s">
        <v>110</v>
      </c>
      <c r="C44" s="344" t="s">
        <v>43</v>
      </c>
      <c r="D44" s="126"/>
      <c r="E44" s="126">
        <v>0</v>
      </c>
      <c r="F44" s="399"/>
      <c r="G44" s="405" t="s">
        <v>42</v>
      </c>
      <c r="H44" s="416" t="s">
        <v>154</v>
      </c>
      <c r="I44" s="344" t="s">
        <v>43</v>
      </c>
      <c r="J44" s="350" t="s">
        <v>110</v>
      </c>
      <c r="K44" s="80" t="str">
        <f t="shared" si="0"/>
        <v/>
      </c>
      <c r="L44" s="80">
        <f t="shared" si="0"/>
        <v>0</v>
      </c>
      <c r="M44" s="399"/>
      <c r="N44" s="430" t="s">
        <v>377</v>
      </c>
      <c r="O44" s="407" t="s">
        <v>378</v>
      </c>
      <c r="P44" s="421" t="str">
        <f>K71</f>
        <v/>
      </c>
      <c r="Q44" s="421">
        <f>L71</f>
        <v>152.11755876637702</v>
      </c>
    </row>
    <row r="45" spans="1:17" ht="15">
      <c r="A45" s="429"/>
      <c r="B45" s="350" t="s">
        <v>111</v>
      </c>
      <c r="C45" s="344" t="s">
        <v>44</v>
      </c>
      <c r="D45" s="126"/>
      <c r="E45" s="126">
        <v>0</v>
      </c>
      <c r="F45" s="399"/>
      <c r="G45" s="406"/>
      <c r="H45" s="428"/>
      <c r="I45" s="344" t="s">
        <v>44</v>
      </c>
      <c r="J45" s="350" t="s">
        <v>111</v>
      </c>
      <c r="K45" s="80" t="str">
        <f t="shared" si="0"/>
        <v/>
      </c>
      <c r="L45" s="80">
        <f t="shared" si="0"/>
        <v>0</v>
      </c>
      <c r="M45" s="399"/>
      <c r="N45" s="430" t="s">
        <v>379</v>
      </c>
      <c r="O45" s="407" t="s">
        <v>176</v>
      </c>
      <c r="P45" s="421" t="str">
        <f>K45</f>
        <v/>
      </c>
      <c r="Q45" s="421">
        <f>L45</f>
        <v>0</v>
      </c>
    </row>
    <row r="46" spans="1:17" ht="15">
      <c r="A46" s="427"/>
      <c r="B46" s="350" t="s">
        <v>155</v>
      </c>
      <c r="C46" s="344" t="s">
        <v>45</v>
      </c>
      <c r="D46" s="126"/>
      <c r="E46" s="126">
        <v>0</v>
      </c>
      <c r="F46" s="399"/>
      <c r="G46" s="408"/>
      <c r="H46" s="426"/>
      <c r="I46" s="344" t="s">
        <v>45</v>
      </c>
      <c r="J46" s="350" t="s">
        <v>155</v>
      </c>
      <c r="K46" s="80" t="str">
        <f t="shared" si="0"/>
        <v/>
      </c>
      <c r="L46" s="80">
        <f t="shared" si="0"/>
        <v>0</v>
      </c>
      <c r="M46" s="399"/>
      <c r="N46" s="430" t="s">
        <v>380</v>
      </c>
      <c r="O46" s="407" t="s">
        <v>381</v>
      </c>
      <c r="P46" s="421" t="str">
        <f>K59</f>
        <v/>
      </c>
      <c r="Q46" s="421">
        <f>L59</f>
        <v>0</v>
      </c>
    </row>
    <row r="47" spans="1:17" ht="15">
      <c r="A47" s="415" t="s">
        <v>46</v>
      </c>
      <c r="B47" s="350" t="s">
        <v>112</v>
      </c>
      <c r="C47" s="344" t="s">
        <v>47</v>
      </c>
      <c r="D47" s="126"/>
      <c r="E47" s="126">
        <v>1392.4515397412958</v>
      </c>
      <c r="F47" s="399"/>
      <c r="G47" s="405" t="s">
        <v>46</v>
      </c>
      <c r="H47" s="416" t="s">
        <v>156</v>
      </c>
      <c r="I47" s="344" t="s">
        <v>47</v>
      </c>
      <c r="J47" s="350" t="s">
        <v>112</v>
      </c>
      <c r="K47" s="80" t="str">
        <f t="shared" si="0"/>
        <v/>
      </c>
      <c r="L47" s="80">
        <f t="shared" si="0"/>
        <v>1392.4515397412958</v>
      </c>
      <c r="M47" s="399"/>
      <c r="N47" s="430" t="s">
        <v>382</v>
      </c>
      <c r="O47" s="407" t="s">
        <v>383</v>
      </c>
      <c r="P47" s="421" t="str">
        <f>K55</f>
        <v/>
      </c>
      <c r="Q47" s="421">
        <f>L55</f>
        <v>0</v>
      </c>
    </row>
    <row r="48" spans="1:17" ht="15">
      <c r="A48" s="429"/>
      <c r="B48" s="350" t="s">
        <v>157</v>
      </c>
      <c r="C48" s="344" t="s">
        <v>48</v>
      </c>
      <c r="D48" s="126"/>
      <c r="E48" s="126">
        <v>489.23262616757836</v>
      </c>
      <c r="F48" s="399"/>
      <c r="G48" s="406"/>
      <c r="H48" s="428"/>
      <c r="I48" s="344" t="s">
        <v>48</v>
      </c>
      <c r="J48" s="350" t="s">
        <v>157</v>
      </c>
      <c r="K48" s="80" t="str">
        <f t="shared" si="0"/>
        <v/>
      </c>
      <c r="L48" s="80">
        <f t="shared" si="0"/>
        <v>489.23262616757836</v>
      </c>
      <c r="M48" s="399"/>
      <c r="N48" s="430" t="s">
        <v>384</v>
      </c>
      <c r="O48" s="407" t="s">
        <v>106</v>
      </c>
      <c r="P48" s="421" t="str">
        <f>K40</f>
        <v/>
      </c>
      <c r="Q48" s="421">
        <f>L40</f>
        <v>0</v>
      </c>
    </row>
    <row r="49" spans="1:17" ht="15">
      <c r="A49" s="434"/>
      <c r="B49" s="350" t="s">
        <v>158</v>
      </c>
      <c r="C49" s="344" t="s">
        <v>49</v>
      </c>
      <c r="D49" s="126"/>
      <c r="E49" s="126">
        <v>18.853401487067462</v>
      </c>
      <c r="F49" s="399"/>
      <c r="G49" s="408"/>
      <c r="H49" s="426"/>
      <c r="I49" s="344" t="s">
        <v>49</v>
      </c>
      <c r="J49" s="350" t="s">
        <v>158</v>
      </c>
      <c r="K49" s="80" t="str">
        <f t="shared" si="0"/>
        <v/>
      </c>
      <c r="L49" s="80">
        <f t="shared" si="0"/>
        <v>18.853401487067462</v>
      </c>
      <c r="M49" s="399"/>
      <c r="N49" s="430" t="s">
        <v>385</v>
      </c>
      <c r="O49" s="407" t="s">
        <v>108</v>
      </c>
      <c r="P49" s="421" t="str">
        <f>K42</f>
        <v/>
      </c>
      <c r="Q49" s="421">
        <f>L42</f>
        <v>2.1266828039911334</v>
      </c>
    </row>
    <row r="50" spans="1:17" ht="15">
      <c r="A50" s="433" t="s">
        <v>50</v>
      </c>
      <c r="B50" s="350" t="s">
        <v>113</v>
      </c>
      <c r="C50" s="344" t="s">
        <v>51</v>
      </c>
      <c r="D50" s="126"/>
      <c r="E50" s="126">
        <v>0</v>
      </c>
      <c r="F50" s="399"/>
      <c r="G50" s="405" t="s">
        <v>50</v>
      </c>
      <c r="H50" s="416" t="s">
        <v>159</v>
      </c>
      <c r="I50" s="344" t="s">
        <v>51</v>
      </c>
      <c r="J50" s="350" t="s">
        <v>113</v>
      </c>
      <c r="K50" s="114" t="str">
        <f t="shared" si="0"/>
        <v/>
      </c>
      <c r="L50" s="114">
        <f t="shared" si="0"/>
        <v>0</v>
      </c>
      <c r="M50" s="399"/>
      <c r="N50" s="430" t="s">
        <v>386</v>
      </c>
      <c r="O50" s="407" t="s">
        <v>107</v>
      </c>
      <c r="P50" s="421" t="str">
        <f>K41</f>
        <v/>
      </c>
      <c r="Q50" s="421">
        <f>L41</f>
        <v>16.559451496245568</v>
      </c>
    </row>
    <row r="51" spans="1:17" ht="15">
      <c r="A51" s="432"/>
      <c r="B51" s="350" t="s">
        <v>114</v>
      </c>
      <c r="C51" s="344" t="s">
        <v>115</v>
      </c>
      <c r="D51" s="126"/>
      <c r="E51" s="126">
        <v>0</v>
      </c>
      <c r="F51" s="399"/>
      <c r="G51" s="406"/>
      <c r="H51" s="428"/>
      <c r="I51" s="344" t="s">
        <v>115</v>
      </c>
      <c r="J51" s="350" t="s">
        <v>114</v>
      </c>
      <c r="K51" s="114" t="str">
        <f t="shared" si="0"/>
        <v/>
      </c>
      <c r="L51" s="114">
        <f t="shared" si="0"/>
        <v>0</v>
      </c>
      <c r="M51" s="399"/>
      <c r="N51" s="430" t="s">
        <v>387</v>
      </c>
      <c r="O51" s="407" t="s">
        <v>388</v>
      </c>
      <c r="P51" s="420" t="str">
        <f t="shared" ref="P51:Q52" si="4">K57</f>
        <v/>
      </c>
      <c r="Q51" s="420">
        <f t="shared" si="4"/>
        <v>0</v>
      </c>
    </row>
    <row r="52" spans="1:17" ht="15">
      <c r="A52" s="432"/>
      <c r="B52" s="350" t="s">
        <v>116</v>
      </c>
      <c r="C52" s="344" t="s">
        <v>52</v>
      </c>
      <c r="D52" s="126"/>
      <c r="E52" s="126">
        <v>0</v>
      </c>
      <c r="F52" s="399"/>
      <c r="G52" s="406"/>
      <c r="H52" s="428"/>
      <c r="I52" s="344" t="s">
        <v>52</v>
      </c>
      <c r="J52" s="350" t="s">
        <v>116</v>
      </c>
      <c r="K52" s="80" t="str">
        <f t="shared" si="0"/>
        <v/>
      </c>
      <c r="L52" s="80">
        <f t="shared" si="0"/>
        <v>0</v>
      </c>
      <c r="M52" s="399"/>
      <c r="N52" s="430" t="s">
        <v>389</v>
      </c>
      <c r="O52" s="407" t="s">
        <v>390</v>
      </c>
      <c r="P52" s="420" t="str">
        <f t="shared" si="4"/>
        <v/>
      </c>
      <c r="Q52" s="420">
        <f t="shared" si="4"/>
        <v>0</v>
      </c>
    </row>
    <row r="53" spans="1:17" ht="15">
      <c r="A53" s="431"/>
      <c r="B53" s="350" t="s">
        <v>117</v>
      </c>
      <c r="C53" s="344" t="s">
        <v>118</v>
      </c>
      <c r="D53" s="126"/>
      <c r="E53" s="126">
        <v>0</v>
      </c>
      <c r="F53" s="399"/>
      <c r="G53" s="408"/>
      <c r="H53" s="426"/>
      <c r="I53" s="344" t="s">
        <v>118</v>
      </c>
      <c r="J53" s="350" t="s">
        <v>117</v>
      </c>
      <c r="K53" s="80" t="str">
        <f t="shared" si="0"/>
        <v/>
      </c>
      <c r="L53" s="80">
        <f t="shared" si="0"/>
        <v>0</v>
      </c>
      <c r="M53" s="399"/>
      <c r="N53" s="430" t="s">
        <v>391</v>
      </c>
      <c r="O53" s="407" t="s">
        <v>392</v>
      </c>
      <c r="P53" s="420" t="str">
        <f>K56</f>
        <v/>
      </c>
      <c r="Q53" s="420">
        <f>L56</f>
        <v>0</v>
      </c>
    </row>
    <row r="54" spans="1:17" ht="30" customHeight="1">
      <c r="A54" s="429" t="s">
        <v>53</v>
      </c>
      <c r="B54" s="350" t="s">
        <v>160</v>
      </c>
      <c r="C54" s="344" t="s">
        <v>55</v>
      </c>
      <c r="D54" s="126"/>
      <c r="E54" s="126">
        <v>168.46195245098306</v>
      </c>
      <c r="F54" s="399"/>
      <c r="G54" s="405" t="s">
        <v>53</v>
      </c>
      <c r="H54" s="416" t="s">
        <v>54</v>
      </c>
      <c r="I54" s="344" t="s">
        <v>55</v>
      </c>
      <c r="J54" s="350" t="s">
        <v>160</v>
      </c>
      <c r="K54" s="80" t="str">
        <f t="shared" ref="K54:L78" si="5">IF(ISNUMBER(D54),D54,"")</f>
        <v/>
      </c>
      <c r="L54" s="80">
        <f t="shared" si="5"/>
        <v>168.46195245098306</v>
      </c>
      <c r="M54" s="388"/>
      <c r="N54" s="62"/>
      <c r="O54" s="63" t="s">
        <v>405</v>
      </c>
      <c r="P54" s="115"/>
      <c r="Q54" s="116"/>
    </row>
    <row r="55" spans="1:17" ht="15">
      <c r="A55" s="429"/>
      <c r="B55" s="350" t="s">
        <v>161</v>
      </c>
      <c r="C55" s="344" t="s">
        <v>56</v>
      </c>
      <c r="D55" s="126"/>
      <c r="E55" s="126">
        <v>0</v>
      </c>
      <c r="F55" s="399"/>
      <c r="G55" s="406"/>
      <c r="H55" s="428"/>
      <c r="I55" s="344" t="s">
        <v>56</v>
      </c>
      <c r="J55" s="350" t="s">
        <v>161</v>
      </c>
      <c r="K55" s="80" t="str">
        <f t="shared" si="5"/>
        <v/>
      </c>
      <c r="L55" s="80">
        <f t="shared" si="5"/>
        <v>0</v>
      </c>
      <c r="M55" s="399"/>
      <c r="N55" s="430" t="s">
        <v>393</v>
      </c>
      <c r="O55" s="407" t="s">
        <v>394</v>
      </c>
      <c r="P55" s="371"/>
      <c r="Q55" s="371"/>
    </row>
    <row r="56" spans="1:17" ht="15">
      <c r="A56" s="429"/>
      <c r="B56" s="350" t="s">
        <v>162</v>
      </c>
      <c r="C56" s="344" t="s">
        <v>57</v>
      </c>
      <c r="D56" s="126"/>
      <c r="E56" s="126">
        <v>0</v>
      </c>
      <c r="F56" s="399"/>
      <c r="G56" s="406"/>
      <c r="H56" s="428"/>
      <c r="I56" s="344" t="s">
        <v>57</v>
      </c>
      <c r="J56" s="350" t="s">
        <v>162</v>
      </c>
      <c r="K56" s="80" t="str">
        <f t="shared" si="5"/>
        <v/>
      </c>
      <c r="L56" s="80">
        <f t="shared" si="5"/>
        <v>0</v>
      </c>
      <c r="M56" s="399"/>
      <c r="N56" s="430" t="s">
        <v>395</v>
      </c>
      <c r="O56" s="407" t="s">
        <v>396</v>
      </c>
      <c r="P56" s="371"/>
      <c r="Q56" s="371"/>
    </row>
    <row r="57" spans="1:17" ht="15">
      <c r="A57" s="429"/>
      <c r="B57" s="350" t="s">
        <v>119</v>
      </c>
      <c r="C57" s="344" t="s">
        <v>120</v>
      </c>
      <c r="D57" s="126"/>
      <c r="E57" s="126">
        <v>0</v>
      </c>
      <c r="F57" s="399"/>
      <c r="G57" s="406"/>
      <c r="H57" s="428"/>
      <c r="I57" s="344" t="s">
        <v>120</v>
      </c>
      <c r="J57" s="350" t="s">
        <v>119</v>
      </c>
      <c r="K57" s="80" t="str">
        <f t="shared" si="5"/>
        <v/>
      </c>
      <c r="L57" s="80">
        <f t="shared" si="5"/>
        <v>0</v>
      </c>
      <c r="M57" s="399"/>
      <c r="N57" s="72"/>
      <c r="O57" s="73" t="s">
        <v>408</v>
      </c>
      <c r="P57" s="117"/>
      <c r="Q57" s="118"/>
    </row>
    <row r="58" spans="1:17" ht="15">
      <c r="A58" s="429"/>
      <c r="B58" s="350" t="s">
        <v>121</v>
      </c>
      <c r="C58" s="344" t="s">
        <v>122</v>
      </c>
      <c r="D58" s="126"/>
      <c r="E58" s="126">
        <v>0</v>
      </c>
      <c r="F58" s="399"/>
      <c r="G58" s="406"/>
      <c r="H58" s="428"/>
      <c r="I58" s="344" t="s">
        <v>122</v>
      </c>
      <c r="J58" s="350" t="s">
        <v>121</v>
      </c>
      <c r="K58" s="80" t="str">
        <f t="shared" si="5"/>
        <v/>
      </c>
      <c r="L58" s="80">
        <f t="shared" si="5"/>
        <v>0</v>
      </c>
      <c r="M58" s="399"/>
      <c r="N58" s="344">
        <v>1</v>
      </c>
      <c r="O58" s="414" t="s">
        <v>397</v>
      </c>
      <c r="P58" s="133">
        <f t="shared" ref="P58:Q58" si="6">SUM(K23:K24,K29:K30)</f>
        <v>0</v>
      </c>
      <c r="Q58" s="133">
        <f t="shared" si="6"/>
        <v>0</v>
      </c>
    </row>
    <row r="59" spans="1:17" ht="15">
      <c r="A59" s="429"/>
      <c r="B59" s="350" t="s">
        <v>123</v>
      </c>
      <c r="C59" s="344" t="s">
        <v>124</v>
      </c>
      <c r="D59" s="126"/>
      <c r="E59" s="126">
        <v>0</v>
      </c>
      <c r="F59" s="399"/>
      <c r="G59" s="406"/>
      <c r="H59" s="428"/>
      <c r="I59" s="344" t="s">
        <v>124</v>
      </c>
      <c r="J59" s="350" t="s">
        <v>123</v>
      </c>
      <c r="K59" s="80" t="str">
        <f t="shared" si="5"/>
        <v/>
      </c>
      <c r="L59" s="80">
        <f t="shared" si="5"/>
        <v>0</v>
      </c>
      <c r="M59" s="399"/>
      <c r="N59" s="344">
        <v>2</v>
      </c>
      <c r="O59" s="414" t="s">
        <v>398</v>
      </c>
      <c r="P59" s="133">
        <f t="shared" ref="P59:Q59" si="7">SUM(K31:K33,K36)</f>
        <v>0</v>
      </c>
      <c r="Q59" s="133">
        <f t="shared" si="7"/>
        <v>0</v>
      </c>
    </row>
    <row r="60" spans="1:17" ht="15">
      <c r="A60" s="429"/>
      <c r="B60" s="350" t="s">
        <v>136</v>
      </c>
      <c r="C60" s="344" t="s">
        <v>58</v>
      </c>
      <c r="D60" s="126"/>
      <c r="E60" s="126">
        <v>0</v>
      </c>
      <c r="F60" s="399"/>
      <c r="G60" s="406"/>
      <c r="H60" s="428"/>
      <c r="I60" s="344" t="s">
        <v>58</v>
      </c>
      <c r="J60" s="350" t="s">
        <v>136</v>
      </c>
      <c r="K60" s="80" t="str">
        <f t="shared" si="5"/>
        <v/>
      </c>
      <c r="L60" s="80">
        <f t="shared" si="5"/>
        <v>0</v>
      </c>
      <c r="M60" s="399"/>
      <c r="N60" s="344">
        <v>3</v>
      </c>
      <c r="O60" s="414" t="s">
        <v>323</v>
      </c>
      <c r="P60" s="133">
        <f t="shared" ref="P60:Q60" si="8">SUM(K60:K63)</f>
        <v>0</v>
      </c>
      <c r="Q60" s="133">
        <f t="shared" si="8"/>
        <v>27.694667076693527</v>
      </c>
    </row>
    <row r="61" spans="1:17" ht="15">
      <c r="A61" s="429"/>
      <c r="B61" s="350" t="s">
        <v>125</v>
      </c>
      <c r="C61" s="344" t="s">
        <v>59</v>
      </c>
      <c r="D61" s="126"/>
      <c r="E61" s="126">
        <v>0</v>
      </c>
      <c r="F61" s="399"/>
      <c r="G61" s="406"/>
      <c r="H61" s="428"/>
      <c r="I61" s="344" t="s">
        <v>59</v>
      </c>
      <c r="J61" s="350" t="s">
        <v>125</v>
      </c>
      <c r="K61" s="80" t="str">
        <f t="shared" si="5"/>
        <v/>
      </c>
      <c r="L61" s="80">
        <f t="shared" si="5"/>
        <v>0</v>
      </c>
      <c r="M61" s="399"/>
      <c r="N61" s="344">
        <v>4</v>
      </c>
      <c r="O61" s="414" t="s">
        <v>668</v>
      </c>
      <c r="P61" s="122">
        <f t="shared" ref="P61:Q61" si="9">SUM(K50:K53)</f>
        <v>0</v>
      </c>
      <c r="Q61" s="122">
        <f t="shared" si="9"/>
        <v>0</v>
      </c>
    </row>
    <row r="62" spans="1:17" ht="25.5">
      <c r="A62" s="429"/>
      <c r="B62" s="350" t="s">
        <v>163</v>
      </c>
      <c r="C62" s="344" t="s">
        <v>60</v>
      </c>
      <c r="D62" s="126"/>
      <c r="E62" s="126">
        <v>27.694667076693527</v>
      </c>
      <c r="F62" s="399"/>
      <c r="G62" s="406"/>
      <c r="H62" s="428"/>
      <c r="I62" s="344" t="s">
        <v>60</v>
      </c>
      <c r="J62" s="350" t="s">
        <v>163</v>
      </c>
      <c r="K62" s="80" t="str">
        <f t="shared" si="5"/>
        <v/>
      </c>
      <c r="L62" s="80">
        <f t="shared" si="5"/>
        <v>27.694667076693527</v>
      </c>
      <c r="M62" s="399"/>
      <c r="N62" s="344">
        <v>5</v>
      </c>
      <c r="O62" s="350" t="s">
        <v>399</v>
      </c>
      <c r="P62" s="369" t="str">
        <f>K64</f>
        <v/>
      </c>
      <c r="Q62" s="369">
        <f>L64</f>
        <v>69.439777847171172</v>
      </c>
    </row>
    <row r="63" spans="1:17" ht="15">
      <c r="A63" s="429"/>
      <c r="B63" s="350" t="s">
        <v>126</v>
      </c>
      <c r="C63" s="344" t="s">
        <v>61</v>
      </c>
      <c r="D63" s="126"/>
      <c r="E63" s="126">
        <v>0</v>
      </c>
      <c r="F63" s="399"/>
      <c r="G63" s="408"/>
      <c r="H63" s="426"/>
      <c r="I63" s="344" t="s">
        <v>61</v>
      </c>
      <c r="J63" s="350" t="s">
        <v>126</v>
      </c>
      <c r="K63" s="80" t="str">
        <f t="shared" si="5"/>
        <v/>
      </c>
      <c r="L63" s="80">
        <f t="shared" si="5"/>
        <v>0</v>
      </c>
      <c r="M63" s="399"/>
      <c r="N63" s="349">
        <v>6</v>
      </c>
      <c r="O63" s="248" t="s">
        <v>468</v>
      </c>
      <c r="P63" s="369" t="str">
        <f t="shared" ref="P63:Q63" si="10">K65</f>
        <v/>
      </c>
      <c r="Q63" s="369">
        <f t="shared" si="10"/>
        <v>0</v>
      </c>
    </row>
    <row r="64" spans="1:17" ht="15">
      <c r="A64" s="415" t="s">
        <v>62</v>
      </c>
      <c r="B64" s="350" t="s">
        <v>165</v>
      </c>
      <c r="C64" s="344" t="s">
        <v>63</v>
      </c>
      <c r="D64" s="126"/>
      <c r="E64" s="126">
        <v>69.439777847171172</v>
      </c>
      <c r="F64" s="399"/>
      <c r="G64" s="405" t="s">
        <v>62</v>
      </c>
      <c r="H64" s="416" t="s">
        <v>164</v>
      </c>
      <c r="I64" s="344" t="s">
        <v>63</v>
      </c>
      <c r="J64" s="350" t="s">
        <v>165</v>
      </c>
      <c r="K64" s="80" t="str">
        <f t="shared" si="5"/>
        <v/>
      </c>
      <c r="L64" s="80">
        <f t="shared" si="5"/>
        <v>69.439777847171172</v>
      </c>
      <c r="M64" s="397"/>
      <c r="N64" s="349">
        <v>7</v>
      </c>
      <c r="O64" s="248" t="s">
        <v>469</v>
      </c>
      <c r="P64" s="369" t="str">
        <f>IF(OR(ISNUMBER(K66),ISNUMBER(K69)),SUM(K66,K69),"")</f>
        <v/>
      </c>
      <c r="Q64" s="369">
        <f>IF(OR(ISNUMBER(L66),ISNUMBER(L69)),SUM(L66,L69),"")</f>
        <v>0</v>
      </c>
    </row>
    <row r="65" spans="1:17" ht="15">
      <c r="A65" s="429"/>
      <c r="B65" s="350" t="s">
        <v>127</v>
      </c>
      <c r="C65" s="344" t="s">
        <v>64</v>
      </c>
      <c r="D65" s="126"/>
      <c r="E65" s="126">
        <v>0</v>
      </c>
      <c r="F65" s="399"/>
      <c r="G65" s="406"/>
      <c r="H65" s="428"/>
      <c r="I65" s="344" t="s">
        <v>64</v>
      </c>
      <c r="J65" s="350" t="s">
        <v>127</v>
      </c>
      <c r="K65" s="80" t="str">
        <f t="shared" si="5"/>
        <v/>
      </c>
      <c r="L65" s="80">
        <f t="shared" si="5"/>
        <v>0</v>
      </c>
      <c r="M65" s="397"/>
      <c r="N65" s="349">
        <v>8</v>
      </c>
      <c r="O65" s="423" t="s">
        <v>133</v>
      </c>
      <c r="P65" s="369" t="str">
        <f>K78</f>
        <v/>
      </c>
      <c r="Q65" s="369">
        <f>L78</f>
        <v>0</v>
      </c>
    </row>
    <row r="66" spans="1:17" ht="15">
      <c r="A66" s="429"/>
      <c r="B66" s="350" t="s">
        <v>166</v>
      </c>
      <c r="C66" s="344" t="s">
        <v>65</v>
      </c>
      <c r="D66" s="126"/>
      <c r="E66" s="126">
        <v>0</v>
      </c>
      <c r="F66" s="399"/>
      <c r="G66" s="406"/>
      <c r="H66" s="428"/>
      <c r="I66" s="344" t="s">
        <v>65</v>
      </c>
      <c r="J66" s="350" t="s">
        <v>166</v>
      </c>
      <c r="K66" s="80" t="str">
        <f t="shared" si="5"/>
        <v/>
      </c>
      <c r="L66" s="80">
        <f t="shared" si="5"/>
        <v>0</v>
      </c>
      <c r="M66" s="397"/>
      <c r="N66" s="373"/>
    </row>
    <row r="67" spans="1:17" ht="15">
      <c r="A67" s="429"/>
      <c r="B67" s="350" t="s">
        <v>173</v>
      </c>
      <c r="C67" s="344" t="s">
        <v>66</v>
      </c>
      <c r="D67" s="126"/>
      <c r="E67" s="126">
        <v>0</v>
      </c>
      <c r="F67" s="399"/>
      <c r="G67" s="406"/>
      <c r="H67" s="428"/>
      <c r="I67" s="344" t="s">
        <v>66</v>
      </c>
      <c r="J67" s="350" t="s">
        <v>173</v>
      </c>
      <c r="K67" s="80" t="str">
        <f t="shared" si="5"/>
        <v/>
      </c>
      <c r="L67" s="80">
        <f t="shared" si="5"/>
        <v>0</v>
      </c>
      <c r="M67" s="397"/>
      <c r="N67" s="373"/>
    </row>
    <row r="68" spans="1:17" ht="15">
      <c r="A68" s="429"/>
      <c r="B68" s="350" t="s">
        <v>174</v>
      </c>
      <c r="C68" s="344" t="s">
        <v>67</v>
      </c>
      <c r="D68" s="126"/>
      <c r="E68" s="126">
        <v>0</v>
      </c>
      <c r="F68" s="399"/>
      <c r="G68" s="406"/>
      <c r="H68" s="428"/>
      <c r="I68" s="344" t="s">
        <v>67</v>
      </c>
      <c r="J68" s="350" t="s">
        <v>174</v>
      </c>
      <c r="K68" s="80" t="str">
        <f t="shared" si="5"/>
        <v/>
      </c>
      <c r="L68" s="80">
        <f t="shared" si="5"/>
        <v>0</v>
      </c>
      <c r="M68" s="397"/>
      <c r="N68" s="373"/>
    </row>
    <row r="69" spans="1:17" ht="15">
      <c r="A69" s="429"/>
      <c r="B69" s="350" t="s">
        <v>175</v>
      </c>
      <c r="C69" s="344" t="s">
        <v>68</v>
      </c>
      <c r="D69" s="126"/>
      <c r="E69" s="126">
        <v>0</v>
      </c>
      <c r="F69" s="399"/>
      <c r="G69" s="406"/>
      <c r="H69" s="428"/>
      <c r="I69" s="344" t="s">
        <v>68</v>
      </c>
      <c r="J69" s="350" t="s">
        <v>175</v>
      </c>
      <c r="K69" s="80" t="str">
        <f t="shared" si="5"/>
        <v/>
      </c>
      <c r="L69" s="80">
        <f t="shared" si="5"/>
        <v>0</v>
      </c>
      <c r="M69" s="397"/>
      <c r="N69" s="373"/>
    </row>
    <row r="70" spans="1:17" ht="15">
      <c r="A70" s="429"/>
      <c r="B70" s="350" t="s">
        <v>167</v>
      </c>
      <c r="C70" s="344" t="s">
        <v>128</v>
      </c>
      <c r="D70" s="126"/>
      <c r="E70" s="126">
        <v>0</v>
      </c>
      <c r="F70" s="399"/>
      <c r="G70" s="406"/>
      <c r="H70" s="428"/>
      <c r="I70" s="344" t="s">
        <v>128</v>
      </c>
      <c r="J70" s="350" t="s">
        <v>167</v>
      </c>
      <c r="K70" s="114" t="str">
        <f t="shared" si="5"/>
        <v/>
      </c>
      <c r="L70" s="114">
        <f t="shared" si="5"/>
        <v>0</v>
      </c>
      <c r="M70" s="397"/>
      <c r="N70" s="373"/>
    </row>
    <row r="71" spans="1:17" ht="15">
      <c r="A71" s="429"/>
      <c r="B71" s="350" t="s">
        <v>129</v>
      </c>
      <c r="C71" s="344" t="s">
        <v>69</v>
      </c>
      <c r="D71" s="126"/>
      <c r="E71" s="126">
        <v>152.11755876637702</v>
      </c>
      <c r="F71" s="399"/>
      <c r="G71" s="406"/>
      <c r="H71" s="428"/>
      <c r="I71" s="344" t="s">
        <v>69</v>
      </c>
      <c r="J71" s="350" t="s">
        <v>129</v>
      </c>
      <c r="K71" s="114" t="str">
        <f t="shared" si="5"/>
        <v/>
      </c>
      <c r="L71" s="114">
        <f t="shared" si="5"/>
        <v>152.11755876637702</v>
      </c>
      <c r="M71" s="397"/>
      <c r="N71" s="373"/>
    </row>
    <row r="72" spans="1:17" ht="15">
      <c r="A72" s="427"/>
      <c r="B72" s="350" t="s">
        <v>168</v>
      </c>
      <c r="C72" s="344" t="s">
        <v>70</v>
      </c>
      <c r="D72" s="126"/>
      <c r="E72" s="126">
        <v>0</v>
      </c>
      <c r="F72" s="399"/>
      <c r="G72" s="408"/>
      <c r="H72" s="426"/>
      <c r="I72" s="344" t="s">
        <v>70</v>
      </c>
      <c r="J72" s="350" t="s">
        <v>168</v>
      </c>
      <c r="K72" s="80" t="str">
        <f t="shared" si="5"/>
        <v/>
      </c>
      <c r="L72" s="80">
        <f t="shared" si="5"/>
        <v>0</v>
      </c>
      <c r="M72" s="397"/>
      <c r="N72" s="373"/>
    </row>
    <row r="73" spans="1:17" ht="15">
      <c r="A73" s="429" t="s">
        <v>71</v>
      </c>
      <c r="B73" s="350" t="s">
        <v>170</v>
      </c>
      <c r="C73" s="344" t="s">
        <v>72</v>
      </c>
      <c r="D73" s="126"/>
      <c r="E73" s="126">
        <v>297.42495349750158</v>
      </c>
      <c r="F73" s="399"/>
      <c r="G73" s="405" t="s">
        <v>71</v>
      </c>
      <c r="H73" s="416" t="s">
        <v>169</v>
      </c>
      <c r="I73" s="344" t="s">
        <v>72</v>
      </c>
      <c r="J73" s="350" t="s">
        <v>170</v>
      </c>
      <c r="K73" s="80" t="str">
        <f t="shared" si="5"/>
        <v/>
      </c>
      <c r="L73" s="80">
        <f t="shared" si="5"/>
        <v>297.42495349750158</v>
      </c>
      <c r="M73" s="397"/>
      <c r="N73" s="373"/>
    </row>
    <row r="74" spans="1:17" ht="15">
      <c r="A74" s="429"/>
      <c r="B74" s="350" t="s">
        <v>130</v>
      </c>
      <c r="C74" s="344" t="s">
        <v>73</v>
      </c>
      <c r="D74" s="126"/>
      <c r="E74" s="126">
        <v>0</v>
      </c>
      <c r="F74" s="399"/>
      <c r="G74" s="406"/>
      <c r="H74" s="428"/>
      <c r="I74" s="344" t="s">
        <v>73</v>
      </c>
      <c r="J74" s="350" t="s">
        <v>130</v>
      </c>
      <c r="K74" s="80" t="str">
        <f t="shared" si="5"/>
        <v/>
      </c>
      <c r="L74" s="80">
        <f t="shared" si="5"/>
        <v>0</v>
      </c>
      <c r="M74" s="397"/>
      <c r="N74" s="373"/>
    </row>
    <row r="75" spans="1:17" ht="15">
      <c r="A75" s="429"/>
      <c r="B75" s="350" t="s">
        <v>131</v>
      </c>
      <c r="C75" s="344" t="s">
        <v>74</v>
      </c>
      <c r="D75" s="126"/>
      <c r="E75" s="126">
        <v>0</v>
      </c>
      <c r="F75" s="399"/>
      <c r="G75" s="408"/>
      <c r="H75" s="426"/>
      <c r="I75" s="344" t="s">
        <v>74</v>
      </c>
      <c r="J75" s="350" t="s">
        <v>131</v>
      </c>
      <c r="K75" s="80" t="str">
        <f t="shared" si="5"/>
        <v/>
      </c>
      <c r="L75" s="80">
        <f t="shared" si="5"/>
        <v>0</v>
      </c>
      <c r="M75" s="397"/>
      <c r="N75" s="373"/>
    </row>
    <row r="76" spans="1:17" ht="38.25">
      <c r="A76" s="415" t="s">
        <v>75</v>
      </c>
      <c r="B76" s="350" t="s">
        <v>171</v>
      </c>
      <c r="C76" s="344" t="s">
        <v>77</v>
      </c>
      <c r="D76" s="126"/>
      <c r="E76" s="126">
        <v>296.87536131220048</v>
      </c>
      <c r="F76" s="399"/>
      <c r="G76" s="405" t="s">
        <v>75</v>
      </c>
      <c r="H76" s="416" t="s">
        <v>76</v>
      </c>
      <c r="I76" s="344" t="s">
        <v>77</v>
      </c>
      <c r="J76" s="350" t="s">
        <v>171</v>
      </c>
      <c r="K76" s="80" t="str">
        <f t="shared" si="5"/>
        <v/>
      </c>
      <c r="L76" s="80">
        <f t="shared" si="5"/>
        <v>296.87536131220048</v>
      </c>
      <c r="M76" s="397"/>
      <c r="N76" s="373"/>
    </row>
    <row r="77" spans="1:17" ht="15">
      <c r="A77" s="429"/>
      <c r="B77" s="350" t="s">
        <v>132</v>
      </c>
      <c r="C77" s="344" t="s">
        <v>78</v>
      </c>
      <c r="D77" s="126"/>
      <c r="E77" s="126">
        <v>0</v>
      </c>
      <c r="F77" s="399"/>
      <c r="G77" s="406"/>
      <c r="H77" s="428"/>
      <c r="I77" s="344" t="s">
        <v>78</v>
      </c>
      <c r="J77" s="350" t="s">
        <v>132</v>
      </c>
      <c r="K77" s="80" t="str">
        <f t="shared" si="5"/>
        <v/>
      </c>
      <c r="L77" s="80">
        <f t="shared" si="5"/>
        <v>0</v>
      </c>
      <c r="M77" s="397"/>
      <c r="N77" s="373"/>
    </row>
    <row r="78" spans="1:17" ht="15">
      <c r="A78" s="429"/>
      <c r="B78" s="350" t="s">
        <v>133</v>
      </c>
      <c r="C78" s="344" t="s">
        <v>134</v>
      </c>
      <c r="D78" s="126"/>
      <c r="E78" s="126">
        <v>0</v>
      </c>
      <c r="F78" s="399"/>
      <c r="G78" s="406"/>
      <c r="H78" s="428"/>
      <c r="I78" s="344" t="s">
        <v>134</v>
      </c>
      <c r="J78" s="350" t="s">
        <v>133</v>
      </c>
      <c r="K78" s="114" t="str">
        <f t="shared" si="5"/>
        <v/>
      </c>
      <c r="L78" s="114">
        <f t="shared" si="5"/>
        <v>0</v>
      </c>
      <c r="M78" s="397"/>
      <c r="N78" s="373"/>
    </row>
    <row r="79" spans="1:17" ht="15">
      <c r="A79" s="427"/>
      <c r="B79" s="350" t="s">
        <v>135</v>
      </c>
      <c r="C79" s="344" t="s">
        <v>172</v>
      </c>
      <c r="D79" s="126"/>
      <c r="E79" s="126">
        <v>0</v>
      </c>
      <c r="F79" s="399"/>
      <c r="G79" s="408"/>
      <c r="H79" s="426"/>
      <c r="I79" s="344" t="s">
        <v>172</v>
      </c>
      <c r="J79" s="350" t="s">
        <v>135</v>
      </c>
      <c r="K79" s="80" t="str">
        <f t="shared" ref="K79:L79" si="11">IF(ISNUMBER(D79),D79,"")</f>
        <v/>
      </c>
      <c r="L79" s="80">
        <f t="shared" si="11"/>
        <v>0</v>
      </c>
      <c r="M79" s="397"/>
      <c r="N79" s="373"/>
    </row>
    <row r="80" spans="1:17" ht="15">
      <c r="D80" s="78"/>
      <c r="E80" s="78"/>
      <c r="F80" s="78"/>
      <c r="M80" s="397"/>
      <c r="N80" s="373"/>
    </row>
    <row r="81" spans="2:14" ht="15">
      <c r="D81" s="78"/>
      <c r="E81" s="78"/>
      <c r="F81" s="78"/>
      <c r="M81" s="78"/>
      <c r="N81" s="373"/>
    </row>
    <row r="82" spans="2:14" ht="15">
      <c r="D82" s="78"/>
      <c r="E82" s="78"/>
      <c r="F82" s="78"/>
      <c r="M82" s="78"/>
    </row>
    <row r="83" spans="2:14" ht="15">
      <c r="D83" s="78"/>
      <c r="E83" s="78"/>
      <c r="F83" s="78"/>
      <c r="M83" s="78"/>
    </row>
    <row r="84" spans="2:14" ht="15">
      <c r="D84" s="78"/>
      <c r="E84" s="78"/>
      <c r="F84" s="78"/>
      <c r="M84" s="78"/>
    </row>
    <row r="85" spans="2:14" ht="15" customHeight="1">
      <c r="D85" s="78"/>
      <c r="E85" s="78"/>
      <c r="F85" s="78"/>
      <c r="M85" s="78"/>
    </row>
    <row r="86" spans="2:14" ht="15">
      <c r="B86" s="376"/>
      <c r="D86" s="78"/>
      <c r="E86" s="78"/>
      <c r="F86" s="78"/>
      <c r="M86" s="78"/>
    </row>
    <row r="87" spans="2:14" ht="15">
      <c r="B87" s="376"/>
      <c r="D87" s="78"/>
      <c r="E87" s="78"/>
      <c r="F87" s="78"/>
      <c r="M87" s="78"/>
    </row>
    <row r="88" spans="2:14" ht="15">
      <c r="D88" s="78"/>
      <c r="E88" s="78"/>
      <c r="F88" s="78"/>
      <c r="M88" s="78"/>
    </row>
    <row r="89" spans="2:14" ht="15">
      <c r="D89" s="78"/>
      <c r="E89" s="78"/>
      <c r="F89" s="78"/>
      <c r="M89" s="78"/>
    </row>
    <row r="90" spans="2:14" ht="15">
      <c r="D90" s="78"/>
      <c r="E90" s="78"/>
      <c r="F90" s="78"/>
      <c r="M90" s="78"/>
    </row>
    <row r="91" spans="2:14" ht="15">
      <c r="M91" s="78"/>
    </row>
  </sheetData>
  <mergeCells count="6">
    <mergeCell ref="P6:Q6"/>
    <mergeCell ref="H38:H39"/>
    <mergeCell ref="D6:E6"/>
    <mergeCell ref="G6:J6"/>
    <mergeCell ref="K6:L6"/>
    <mergeCell ref="N6:O6"/>
  </mergeCells>
  <conditionalFormatting sqref="D8:E79">
    <cfRule type="expression" dxfId="60" priority="1">
      <formula>ISNUMBER(D8)</formula>
    </cfRule>
  </conditionalFormatting>
  <pageMargins left="0.25" right="0.25" top="0.75" bottom="0.75" header="0.3" footer="0.3"/>
  <pageSetup paperSize="9" scale="80" fitToWidth="0" orientation="portrait" r:id="rId1"/>
</worksheet>
</file>

<file path=xl/worksheets/sheet5.xml><?xml version="1.0" encoding="utf-8"?>
<worksheet xmlns="http://schemas.openxmlformats.org/spreadsheetml/2006/main" xmlns:r="http://schemas.openxmlformats.org/officeDocument/2006/relationships">
  <sheetPr>
    <tabColor rgb="FFFF0000"/>
  </sheetPr>
  <dimension ref="A1:Q87"/>
  <sheetViews>
    <sheetView zoomScale="70" zoomScaleNormal="70" workbookViewId="0">
      <pane ySplit="7" topLeftCell="A8" activePane="bottomLeft" state="frozen"/>
      <selection pane="bottomLeft" activeCell="A8" sqref="A8"/>
    </sheetView>
  </sheetViews>
  <sheetFormatPr defaultRowHeight="12.75"/>
  <cols>
    <col min="1" max="1" width="5.7109375" style="334" customWidth="1"/>
    <col min="2" max="2" width="97.5703125" style="334" customWidth="1"/>
    <col min="3" max="3" width="8.28515625" style="334" customWidth="1"/>
    <col min="4" max="5" width="10.5703125" style="90" customWidth="1"/>
    <col min="6" max="6" width="4.7109375" style="90" customWidth="1"/>
    <col min="7" max="7" width="6.42578125" style="335" customWidth="1"/>
    <col min="8" max="8" width="17.85546875" style="334" customWidth="1"/>
    <col min="9" max="9" width="9.140625" style="335"/>
    <col min="10" max="10" width="91.5703125" style="334" customWidth="1"/>
    <col min="11" max="12" width="10.140625" style="334" customWidth="1"/>
    <col min="13" max="13" width="4.7109375" style="90" customWidth="1"/>
    <col min="14" max="14" width="10.42578125" style="334" customWidth="1"/>
    <col min="15" max="15" width="68.5703125" style="334" customWidth="1"/>
    <col min="16" max="17" width="10.5703125" style="334" customWidth="1"/>
    <col min="18" max="16384" width="9.140625" style="334"/>
  </cols>
  <sheetData>
    <row r="1" spans="1:17" s="329" customFormat="1" ht="21">
      <c r="A1" s="328" t="s">
        <v>716</v>
      </c>
      <c r="D1" s="330"/>
      <c r="E1" s="330"/>
      <c r="F1" s="330"/>
      <c r="G1" s="331"/>
      <c r="H1" s="332"/>
      <c r="I1" s="331"/>
      <c r="J1" s="332"/>
      <c r="M1" s="330"/>
      <c r="N1" s="333"/>
      <c r="O1" s="333"/>
    </row>
    <row r="2" spans="1:17" ht="15.75">
      <c r="A2" s="88" t="s">
        <v>612</v>
      </c>
      <c r="C2" s="218" t="s">
        <v>400</v>
      </c>
      <c r="D2" s="179"/>
      <c r="E2" s="177" t="s">
        <v>444</v>
      </c>
      <c r="H2" s="89"/>
      <c r="I2" s="657"/>
      <c r="J2" s="759" t="s">
        <v>868</v>
      </c>
    </row>
    <row r="3" spans="1:17" ht="18.75">
      <c r="A3" s="757" t="s">
        <v>866</v>
      </c>
      <c r="B3" s="336"/>
      <c r="C3" s="199"/>
      <c r="D3" s="198"/>
      <c r="E3" s="177" t="s">
        <v>445</v>
      </c>
    </row>
    <row r="4" spans="1:17" ht="18.75">
      <c r="A4" s="658"/>
      <c r="B4" s="88"/>
      <c r="C4" s="199"/>
      <c r="D4" s="196"/>
      <c r="E4" s="177" t="s">
        <v>679</v>
      </c>
    </row>
    <row r="5" spans="1:17" ht="15.75">
      <c r="B5" s="88"/>
      <c r="C5" s="199"/>
      <c r="D5" s="217"/>
      <c r="E5" s="171" t="s">
        <v>611</v>
      </c>
      <c r="F5" s="334"/>
    </row>
    <row r="6" spans="1:17" s="88" customFormat="1" ht="18.75" customHeight="1">
      <c r="A6" s="835" t="s">
        <v>613</v>
      </c>
      <c r="B6" s="836"/>
      <c r="C6" s="836"/>
      <c r="D6" s="836"/>
      <c r="E6" s="837"/>
      <c r="F6" s="97"/>
      <c r="G6" s="818" t="s">
        <v>402</v>
      </c>
      <c r="H6" s="819"/>
      <c r="I6" s="819"/>
      <c r="J6" s="811"/>
      <c r="K6" s="820" t="s">
        <v>401</v>
      </c>
      <c r="L6" s="821"/>
      <c r="M6" s="97"/>
      <c r="N6" s="810" t="s">
        <v>403</v>
      </c>
      <c r="O6" s="811"/>
      <c r="P6" s="812" t="s">
        <v>401</v>
      </c>
      <c r="Q6" s="813"/>
    </row>
    <row r="7" spans="1:17" s="339" customFormat="1" ht="25.5">
      <c r="A7" s="337" t="s">
        <v>0</v>
      </c>
      <c r="B7" s="758" t="s">
        <v>1</v>
      </c>
      <c r="C7" s="338" t="s">
        <v>2</v>
      </c>
      <c r="D7" s="338" t="s">
        <v>828</v>
      </c>
      <c r="E7" s="338" t="s">
        <v>829</v>
      </c>
      <c r="F7" s="103"/>
      <c r="G7" s="747" t="s">
        <v>859</v>
      </c>
      <c r="H7" s="43" t="s">
        <v>409</v>
      </c>
      <c r="I7" s="747" t="s">
        <v>860</v>
      </c>
      <c r="J7" s="43" t="s">
        <v>404</v>
      </c>
      <c r="K7" s="42" t="s">
        <v>828</v>
      </c>
      <c r="L7" s="42" t="s">
        <v>829</v>
      </c>
      <c r="M7" s="103"/>
      <c r="N7" s="44" t="s">
        <v>0</v>
      </c>
      <c r="O7" s="45" t="s">
        <v>406</v>
      </c>
      <c r="P7" s="46" t="s">
        <v>680</v>
      </c>
      <c r="Q7" s="46" t="s">
        <v>681</v>
      </c>
    </row>
    <row r="8" spans="1:17" ht="15">
      <c r="A8" s="340" t="s">
        <v>3</v>
      </c>
      <c r="B8" s="341" t="s">
        <v>614</v>
      </c>
      <c r="C8" s="342" t="s">
        <v>4</v>
      </c>
      <c r="D8" s="126"/>
      <c r="E8" s="126">
        <v>4466</v>
      </c>
      <c r="F8" s="343"/>
      <c r="G8" s="340" t="s">
        <v>3</v>
      </c>
      <c r="H8" s="830" t="s">
        <v>137</v>
      </c>
      <c r="I8" s="344" t="s">
        <v>4</v>
      </c>
      <c r="J8" s="341" t="s">
        <v>79</v>
      </c>
      <c r="K8" s="369" t="str">
        <f t="shared" ref="K8:K22" si="0">IF(ISNUMBER(D8),D8,"")</f>
        <v/>
      </c>
      <c r="L8" s="369">
        <f t="shared" ref="L8:L22" si="1">IF(ISNUMBER(E8),E8,"")</f>
        <v>4466</v>
      </c>
      <c r="M8" s="343"/>
      <c r="N8" s="345" t="s">
        <v>324</v>
      </c>
      <c r="O8" s="346" t="s">
        <v>325</v>
      </c>
      <c r="P8" s="122" t="str">
        <f t="shared" ref="P8:Q8" si="2">K73</f>
        <v/>
      </c>
      <c r="Q8" s="122">
        <f t="shared" si="2"/>
        <v>24630</v>
      </c>
    </row>
    <row r="9" spans="1:17" ht="15">
      <c r="A9" s="347"/>
      <c r="B9" s="341" t="s">
        <v>615</v>
      </c>
      <c r="C9" s="342" t="s">
        <v>138</v>
      </c>
      <c r="D9" s="126"/>
      <c r="E9" s="126">
        <v>13</v>
      </c>
      <c r="F9" s="343"/>
      <c r="G9" s="347"/>
      <c r="H9" s="834"/>
      <c r="I9" s="344" t="s">
        <v>138</v>
      </c>
      <c r="J9" s="341" t="s">
        <v>139</v>
      </c>
      <c r="K9" s="369" t="str">
        <f t="shared" si="0"/>
        <v/>
      </c>
      <c r="L9" s="369">
        <f t="shared" si="1"/>
        <v>13</v>
      </c>
      <c r="M9" s="343"/>
      <c r="N9" s="345" t="s">
        <v>326</v>
      </c>
      <c r="O9" s="346" t="s">
        <v>327</v>
      </c>
      <c r="P9" s="122" t="str">
        <f t="shared" ref="P9:Q9" si="3">K75</f>
        <v/>
      </c>
      <c r="Q9" s="122">
        <f t="shared" si="3"/>
        <v>76</v>
      </c>
    </row>
    <row r="10" spans="1:17" ht="15">
      <c r="A10" s="348"/>
      <c r="B10" s="341" t="s">
        <v>80</v>
      </c>
      <c r="C10" s="342" t="s">
        <v>81</v>
      </c>
      <c r="D10" s="126"/>
      <c r="E10" s="126">
        <v>15</v>
      </c>
      <c r="F10" s="343"/>
      <c r="G10" s="348"/>
      <c r="H10" s="831"/>
      <c r="I10" s="344" t="s">
        <v>81</v>
      </c>
      <c r="J10" s="341" t="s">
        <v>80</v>
      </c>
      <c r="K10" s="369" t="str">
        <f t="shared" si="0"/>
        <v/>
      </c>
      <c r="L10" s="369">
        <f t="shared" si="1"/>
        <v>15</v>
      </c>
      <c r="M10" s="343"/>
      <c r="N10" s="345" t="s">
        <v>328</v>
      </c>
      <c r="O10" s="346" t="s">
        <v>130</v>
      </c>
      <c r="P10" s="122" t="str">
        <f t="shared" ref="P10:Q10" si="4">K74</f>
        <v/>
      </c>
      <c r="Q10" s="122">
        <f t="shared" si="4"/>
        <v>1782</v>
      </c>
    </row>
    <row r="11" spans="1:17" ht="15">
      <c r="A11" s="349" t="s">
        <v>5</v>
      </c>
      <c r="B11" s="341" t="s">
        <v>616</v>
      </c>
      <c r="C11" s="342" t="s">
        <v>7</v>
      </c>
      <c r="D11" s="126"/>
      <c r="E11" s="126">
        <v>14092</v>
      </c>
      <c r="F11" s="343"/>
      <c r="G11" s="349" t="s">
        <v>5</v>
      </c>
      <c r="H11" s="350" t="s">
        <v>6</v>
      </c>
      <c r="I11" s="344" t="s">
        <v>7</v>
      </c>
      <c r="J11" s="341" t="s">
        <v>82</v>
      </c>
      <c r="K11" s="369" t="str">
        <f t="shared" si="0"/>
        <v/>
      </c>
      <c r="L11" s="369">
        <f t="shared" si="1"/>
        <v>14092</v>
      </c>
      <c r="M11" s="343"/>
      <c r="N11" s="345" t="s">
        <v>329</v>
      </c>
      <c r="O11" s="346" t="s">
        <v>330</v>
      </c>
      <c r="P11" s="123" t="str">
        <f t="shared" ref="P11:Q11" si="5">K44</f>
        <v/>
      </c>
      <c r="Q11" s="123">
        <f t="shared" si="5"/>
        <v>1567</v>
      </c>
    </row>
    <row r="12" spans="1:17" ht="15">
      <c r="A12" s="348" t="s">
        <v>8</v>
      </c>
      <c r="B12" s="341" t="s">
        <v>617</v>
      </c>
      <c r="C12" s="351" t="s">
        <v>9</v>
      </c>
      <c r="D12" s="126"/>
      <c r="E12" s="126">
        <v>223589</v>
      </c>
      <c r="F12" s="343"/>
      <c r="G12" s="349" t="s">
        <v>8</v>
      </c>
      <c r="H12" s="350" t="s">
        <v>140</v>
      </c>
      <c r="I12" s="344" t="s">
        <v>9</v>
      </c>
      <c r="J12" s="341" t="s">
        <v>83</v>
      </c>
      <c r="K12" s="369" t="str">
        <f t="shared" si="0"/>
        <v/>
      </c>
      <c r="L12" s="369">
        <f t="shared" si="1"/>
        <v>223589</v>
      </c>
      <c r="M12" s="343"/>
      <c r="N12" s="345" t="s">
        <v>331</v>
      </c>
      <c r="O12" s="346" t="s">
        <v>332</v>
      </c>
      <c r="P12" s="123" t="str">
        <f t="shared" ref="P12:Q12" si="6">K46</f>
        <v/>
      </c>
      <c r="Q12" s="123">
        <f t="shared" si="6"/>
        <v>206</v>
      </c>
    </row>
    <row r="13" spans="1:17" ht="15">
      <c r="A13" s="340" t="s">
        <v>10</v>
      </c>
      <c r="B13" s="352" t="s">
        <v>476</v>
      </c>
      <c r="C13" s="342" t="s">
        <v>12</v>
      </c>
      <c r="D13" s="126"/>
      <c r="E13" s="126">
        <v>243</v>
      </c>
      <c r="F13" s="343"/>
      <c r="G13" s="340" t="s">
        <v>10</v>
      </c>
      <c r="H13" s="830" t="s">
        <v>11</v>
      </c>
      <c r="I13" s="344" t="s">
        <v>12</v>
      </c>
      <c r="J13" s="341" t="s">
        <v>84</v>
      </c>
      <c r="K13" s="369" t="str">
        <f t="shared" si="0"/>
        <v/>
      </c>
      <c r="L13" s="369">
        <f t="shared" si="1"/>
        <v>243</v>
      </c>
      <c r="M13" s="343"/>
      <c r="N13" s="345" t="s">
        <v>333</v>
      </c>
      <c r="O13" s="346" t="s">
        <v>334</v>
      </c>
      <c r="P13" s="123" t="str">
        <f t="shared" ref="P13:Q13" si="7">K43</f>
        <v/>
      </c>
      <c r="Q13" s="123">
        <f t="shared" si="7"/>
        <v>11195</v>
      </c>
    </row>
    <row r="14" spans="1:17" ht="15">
      <c r="A14" s="347"/>
      <c r="B14" s="352" t="s">
        <v>618</v>
      </c>
      <c r="C14" s="342" t="s">
        <v>13</v>
      </c>
      <c r="D14" s="126"/>
      <c r="E14" s="126">
        <v>988</v>
      </c>
      <c r="F14" s="343"/>
      <c r="G14" s="347"/>
      <c r="H14" s="834"/>
      <c r="I14" s="344" t="s">
        <v>13</v>
      </c>
      <c r="J14" s="341" t="s">
        <v>85</v>
      </c>
      <c r="K14" s="369" t="str">
        <f t="shared" si="0"/>
        <v/>
      </c>
      <c r="L14" s="369">
        <f t="shared" si="1"/>
        <v>988</v>
      </c>
      <c r="M14" s="343"/>
      <c r="N14" s="345" t="s">
        <v>335</v>
      </c>
      <c r="O14" s="346" t="s">
        <v>336</v>
      </c>
      <c r="P14" s="123" t="str">
        <f t="shared" ref="P14:Q14" si="8">K9</f>
        <v/>
      </c>
      <c r="Q14" s="123">
        <f t="shared" si="8"/>
        <v>13</v>
      </c>
    </row>
    <row r="15" spans="1:17" ht="15">
      <c r="A15" s="347"/>
      <c r="B15" s="352" t="s">
        <v>478</v>
      </c>
      <c r="C15" s="351" t="s">
        <v>14</v>
      </c>
      <c r="D15" s="126"/>
      <c r="E15" s="126">
        <v>324</v>
      </c>
      <c r="F15" s="343"/>
      <c r="G15" s="347"/>
      <c r="H15" s="834"/>
      <c r="I15" s="344" t="s">
        <v>14</v>
      </c>
      <c r="J15" s="341" t="s">
        <v>86</v>
      </c>
      <c r="K15" s="369" t="str">
        <f t="shared" si="0"/>
        <v/>
      </c>
      <c r="L15" s="369">
        <f t="shared" si="1"/>
        <v>324</v>
      </c>
      <c r="M15" s="343"/>
      <c r="N15" s="345" t="s">
        <v>337</v>
      </c>
      <c r="O15" s="346" t="s">
        <v>322</v>
      </c>
      <c r="P15" s="123" t="str">
        <f t="shared" ref="P15:Q16" si="9">K47</f>
        <v/>
      </c>
      <c r="Q15" s="123">
        <f t="shared" si="9"/>
        <v>72504</v>
      </c>
    </row>
    <row r="16" spans="1:17" ht="15">
      <c r="A16" s="347"/>
      <c r="B16" s="352" t="s">
        <v>481</v>
      </c>
      <c r="C16" s="351" t="s">
        <v>15</v>
      </c>
      <c r="D16" s="126"/>
      <c r="E16" s="126">
        <v>126</v>
      </c>
      <c r="F16" s="343"/>
      <c r="G16" s="347"/>
      <c r="H16" s="834"/>
      <c r="I16" s="344" t="s">
        <v>15</v>
      </c>
      <c r="J16" s="341" t="s">
        <v>87</v>
      </c>
      <c r="K16" s="369" t="str">
        <f t="shared" si="0"/>
        <v/>
      </c>
      <c r="L16" s="369">
        <f t="shared" si="1"/>
        <v>126</v>
      </c>
      <c r="M16" s="343"/>
      <c r="N16" s="345" t="s">
        <v>338</v>
      </c>
      <c r="O16" s="346" t="s">
        <v>339</v>
      </c>
      <c r="P16" s="123" t="str">
        <f t="shared" si="9"/>
        <v/>
      </c>
      <c r="Q16" s="123">
        <f t="shared" si="9"/>
        <v>195079</v>
      </c>
    </row>
    <row r="17" spans="1:17" ht="15">
      <c r="A17" s="347"/>
      <c r="B17" s="352" t="s">
        <v>482</v>
      </c>
      <c r="C17" s="351" t="s">
        <v>16</v>
      </c>
      <c r="D17" s="126"/>
      <c r="E17" s="126">
        <v>195</v>
      </c>
      <c r="F17" s="343"/>
      <c r="G17" s="347"/>
      <c r="H17" s="834"/>
      <c r="I17" s="344" t="s">
        <v>16</v>
      </c>
      <c r="J17" s="341" t="s">
        <v>88</v>
      </c>
      <c r="K17" s="369" t="str">
        <f t="shared" si="0"/>
        <v/>
      </c>
      <c r="L17" s="369">
        <f t="shared" si="1"/>
        <v>195</v>
      </c>
      <c r="M17" s="343"/>
      <c r="N17" s="345" t="s">
        <v>340</v>
      </c>
      <c r="O17" s="346" t="s">
        <v>341</v>
      </c>
      <c r="P17" s="123" t="str">
        <f t="shared" ref="P17:Q17" si="10">K54</f>
        <v/>
      </c>
      <c r="Q17" s="123">
        <f t="shared" si="10"/>
        <v>1556</v>
      </c>
    </row>
    <row r="18" spans="1:17" ht="15">
      <c r="A18" s="347"/>
      <c r="B18" s="353" t="s">
        <v>485</v>
      </c>
      <c r="C18" s="351" t="s">
        <v>17</v>
      </c>
      <c r="D18" s="126"/>
      <c r="E18" s="126">
        <v>8</v>
      </c>
      <c r="F18" s="343"/>
      <c r="G18" s="347"/>
      <c r="H18" s="834"/>
      <c r="I18" s="344" t="s">
        <v>17</v>
      </c>
      <c r="J18" s="341" t="s">
        <v>89</v>
      </c>
      <c r="K18" s="369" t="str">
        <f t="shared" si="0"/>
        <v/>
      </c>
      <c r="L18" s="369">
        <f t="shared" si="1"/>
        <v>8</v>
      </c>
      <c r="M18" s="343"/>
      <c r="N18" s="345" t="s">
        <v>342</v>
      </c>
      <c r="O18" s="346" t="s">
        <v>343</v>
      </c>
      <c r="P18" s="123" t="str">
        <f t="shared" ref="P18:Q18" si="11">K49</f>
        <v/>
      </c>
      <c r="Q18" s="123">
        <f t="shared" si="11"/>
        <v>178</v>
      </c>
    </row>
    <row r="19" spans="1:17" ht="15">
      <c r="A19" s="347"/>
      <c r="B19" s="353" t="s">
        <v>486</v>
      </c>
      <c r="C19" s="351" t="s">
        <v>18</v>
      </c>
      <c r="D19" s="126"/>
      <c r="E19" s="126">
        <v>1</v>
      </c>
      <c r="F19" s="343"/>
      <c r="G19" s="347"/>
      <c r="H19" s="834"/>
      <c r="I19" s="344" t="s">
        <v>18</v>
      </c>
      <c r="J19" s="341" t="s">
        <v>90</v>
      </c>
      <c r="K19" s="369" t="str">
        <f t="shared" si="0"/>
        <v/>
      </c>
      <c r="L19" s="369">
        <f t="shared" si="1"/>
        <v>1</v>
      </c>
      <c r="M19" s="343"/>
      <c r="N19" s="345" t="s">
        <v>344</v>
      </c>
      <c r="O19" s="346" t="s">
        <v>345</v>
      </c>
      <c r="P19" s="123" t="str">
        <f t="shared" ref="P19:Q20" si="12">K38</f>
        <v/>
      </c>
      <c r="Q19" s="123">
        <f t="shared" si="12"/>
        <v>11154</v>
      </c>
    </row>
    <row r="20" spans="1:17" ht="15">
      <c r="A20" s="347"/>
      <c r="B20" s="353" t="s">
        <v>487</v>
      </c>
      <c r="C20" s="351" t="s">
        <v>19</v>
      </c>
      <c r="D20" s="126"/>
      <c r="E20" s="126">
        <v>0</v>
      </c>
      <c r="F20" s="343"/>
      <c r="G20" s="347"/>
      <c r="H20" s="834"/>
      <c r="I20" s="344" t="s">
        <v>19</v>
      </c>
      <c r="J20" s="341" t="s">
        <v>141</v>
      </c>
      <c r="K20" s="369" t="str">
        <f t="shared" si="0"/>
        <v/>
      </c>
      <c r="L20" s="369">
        <f t="shared" si="1"/>
        <v>0</v>
      </c>
      <c r="M20" s="343"/>
      <c r="N20" s="345" t="s">
        <v>346</v>
      </c>
      <c r="O20" s="346" t="s">
        <v>347</v>
      </c>
      <c r="P20" s="123" t="str">
        <f t="shared" si="12"/>
        <v/>
      </c>
      <c r="Q20" s="123">
        <f t="shared" si="12"/>
        <v>881</v>
      </c>
    </row>
    <row r="21" spans="1:17" ht="15">
      <c r="A21" s="347"/>
      <c r="B21" s="341" t="s">
        <v>143</v>
      </c>
      <c r="C21" s="351" t="s">
        <v>142</v>
      </c>
      <c r="D21" s="126"/>
      <c r="E21" s="126">
        <v>0</v>
      </c>
      <c r="F21" s="343"/>
      <c r="G21" s="347"/>
      <c r="H21" s="834"/>
      <c r="I21" s="344" t="s">
        <v>142</v>
      </c>
      <c r="J21" s="341" t="s">
        <v>143</v>
      </c>
      <c r="K21" s="369" t="str">
        <f t="shared" si="0"/>
        <v/>
      </c>
      <c r="L21" s="369">
        <f t="shared" si="1"/>
        <v>0</v>
      </c>
      <c r="M21" s="343"/>
      <c r="N21" s="345" t="s">
        <v>348</v>
      </c>
      <c r="O21" s="346" t="s">
        <v>349</v>
      </c>
      <c r="P21" s="123" t="str">
        <f t="shared" ref="P21:Q21" si="13">K76</f>
        <v/>
      </c>
      <c r="Q21" s="123">
        <f t="shared" si="13"/>
        <v>1117</v>
      </c>
    </row>
    <row r="22" spans="1:17" ht="15">
      <c r="A22" s="347"/>
      <c r="B22" s="142" t="s">
        <v>488</v>
      </c>
      <c r="C22" s="344" t="s">
        <v>20</v>
      </c>
      <c r="D22" s="126"/>
      <c r="E22" s="126">
        <v>419</v>
      </c>
      <c r="F22" s="343"/>
      <c r="G22" s="347"/>
      <c r="H22" s="834"/>
      <c r="I22" s="344" t="s">
        <v>20</v>
      </c>
      <c r="J22" s="341" t="s">
        <v>91</v>
      </c>
      <c r="K22" s="369" t="str">
        <f t="shared" si="0"/>
        <v/>
      </c>
      <c r="L22" s="369">
        <f t="shared" si="1"/>
        <v>419</v>
      </c>
      <c r="M22" s="343"/>
      <c r="N22" s="345" t="s">
        <v>350</v>
      </c>
      <c r="O22" s="346" t="s">
        <v>351</v>
      </c>
      <c r="P22" s="123" t="str">
        <f>IF(AND(K34="",K35="",K37="",K79=""),"",SUM(K34:K35,K37,K79))</f>
        <v/>
      </c>
      <c r="Q22" s="123">
        <f>IF(AND(L34="",L35="",L37="",L79=""),"",SUM(L34:L35,L37,L79))</f>
        <v>2329</v>
      </c>
    </row>
    <row r="23" spans="1:17" ht="15" customHeight="1">
      <c r="A23" s="347"/>
      <c r="B23" s="353" t="s">
        <v>490</v>
      </c>
      <c r="C23" s="351" t="s">
        <v>22</v>
      </c>
      <c r="D23" s="126"/>
      <c r="E23" s="126">
        <v>128</v>
      </c>
      <c r="F23" s="339"/>
      <c r="G23" s="347"/>
      <c r="H23" s="834"/>
      <c r="I23" s="344" t="s">
        <v>21</v>
      </c>
      <c r="J23" s="341" t="s">
        <v>144</v>
      </c>
      <c r="K23" s="370"/>
      <c r="L23" s="370"/>
      <c r="M23" s="339"/>
      <c r="N23" s="345" t="s">
        <v>352</v>
      </c>
      <c r="O23" s="346" t="s">
        <v>353</v>
      </c>
      <c r="P23" s="123" t="str">
        <f t="shared" ref="P23:Q23" si="14">K77</f>
        <v/>
      </c>
      <c r="Q23" s="123">
        <f t="shared" si="14"/>
        <v>159</v>
      </c>
    </row>
    <row r="24" spans="1:17" ht="15">
      <c r="A24" s="347"/>
      <c r="B24" s="353" t="s">
        <v>619</v>
      </c>
      <c r="C24" s="351" t="s">
        <v>23</v>
      </c>
      <c r="D24" s="126"/>
      <c r="E24" s="126">
        <v>13605</v>
      </c>
      <c r="F24" s="343"/>
      <c r="G24" s="347"/>
      <c r="H24" s="834"/>
      <c r="I24" s="344" t="s">
        <v>22</v>
      </c>
      <c r="J24" s="341" t="s">
        <v>92</v>
      </c>
      <c r="K24" s="369" t="str">
        <f t="shared" ref="K24:K37" si="15">IF(ISNUMBER(D23),D23,"")</f>
        <v/>
      </c>
      <c r="L24" s="369">
        <f t="shared" ref="L24:L37" si="16">IF(ISNUMBER(E23),E23,"")</f>
        <v>128</v>
      </c>
      <c r="M24" s="343"/>
      <c r="N24" s="345" t="s">
        <v>354</v>
      </c>
      <c r="O24" s="346" t="s">
        <v>355</v>
      </c>
      <c r="P24" s="123" t="str">
        <f t="shared" ref="P24:Q24" si="17">K8</f>
        <v/>
      </c>
      <c r="Q24" s="123">
        <f t="shared" si="17"/>
        <v>4466</v>
      </c>
    </row>
    <row r="25" spans="1:17" ht="15">
      <c r="A25" s="347"/>
      <c r="B25" s="353" t="s">
        <v>492</v>
      </c>
      <c r="C25" s="351" t="s">
        <v>24</v>
      </c>
      <c r="D25" s="126"/>
      <c r="E25" s="126">
        <v>675</v>
      </c>
      <c r="F25" s="343"/>
      <c r="G25" s="347"/>
      <c r="H25" s="834"/>
      <c r="I25" s="344" t="s">
        <v>23</v>
      </c>
      <c r="J25" s="341" t="s">
        <v>93</v>
      </c>
      <c r="K25" s="369" t="str">
        <f t="shared" si="15"/>
        <v/>
      </c>
      <c r="L25" s="369">
        <f t="shared" si="16"/>
        <v>13605</v>
      </c>
      <c r="M25" s="343"/>
      <c r="N25" s="345" t="s">
        <v>356</v>
      </c>
      <c r="O25" s="346" t="s">
        <v>357</v>
      </c>
      <c r="P25" s="123" t="str">
        <f>IF(AND(K67="",K68="",K70="",K72=""),"",SUM(K67:K68,K70,K72))</f>
        <v/>
      </c>
      <c r="Q25" s="123">
        <f>IF(AND(L67="",L68="",L70="",L72=""),"",SUM(L67:L68,L70,L72))</f>
        <v>216826</v>
      </c>
    </row>
    <row r="26" spans="1:17" ht="15">
      <c r="A26" s="347"/>
      <c r="B26" s="353" t="s">
        <v>493</v>
      </c>
      <c r="C26" s="351" t="s">
        <v>25</v>
      </c>
      <c r="D26" s="126"/>
      <c r="E26" s="126">
        <v>1</v>
      </c>
      <c r="F26" s="343"/>
      <c r="G26" s="347"/>
      <c r="H26" s="834"/>
      <c r="I26" s="344" t="s">
        <v>24</v>
      </c>
      <c r="J26" s="341" t="s">
        <v>94</v>
      </c>
      <c r="K26" s="369" t="str">
        <f t="shared" si="15"/>
        <v/>
      </c>
      <c r="L26" s="369">
        <f t="shared" si="16"/>
        <v>675</v>
      </c>
      <c r="M26" s="343"/>
      <c r="N26" s="62"/>
      <c r="O26" s="63" t="s">
        <v>407</v>
      </c>
      <c r="P26" s="115"/>
      <c r="Q26" s="116"/>
    </row>
    <row r="27" spans="1:17" ht="15">
      <c r="A27" s="347"/>
      <c r="B27" s="341" t="s">
        <v>147</v>
      </c>
      <c r="C27" s="342" t="s">
        <v>146</v>
      </c>
      <c r="D27" s="126"/>
      <c r="E27" s="126">
        <v>0</v>
      </c>
      <c r="F27" s="343"/>
      <c r="G27" s="347"/>
      <c r="H27" s="834"/>
      <c r="I27" s="344" t="s">
        <v>25</v>
      </c>
      <c r="J27" s="341" t="s">
        <v>145</v>
      </c>
      <c r="K27" s="369" t="str">
        <f t="shared" si="15"/>
        <v/>
      </c>
      <c r="L27" s="369">
        <f t="shared" si="16"/>
        <v>1</v>
      </c>
      <c r="M27" s="343"/>
      <c r="N27" s="345" t="s">
        <v>358</v>
      </c>
      <c r="O27" s="354" t="s">
        <v>84</v>
      </c>
      <c r="P27" s="122" t="str">
        <f t="shared" ref="P27:Q27" si="18">K13</f>
        <v/>
      </c>
      <c r="Q27" s="122">
        <f t="shared" si="18"/>
        <v>243</v>
      </c>
    </row>
    <row r="28" spans="1:17" ht="15">
      <c r="A28" s="347"/>
      <c r="B28" s="341" t="s">
        <v>149</v>
      </c>
      <c r="C28" s="342" t="s">
        <v>148</v>
      </c>
      <c r="D28" s="126"/>
      <c r="E28" s="126">
        <v>55</v>
      </c>
      <c r="F28" s="343"/>
      <c r="G28" s="347"/>
      <c r="H28" s="834"/>
      <c r="I28" s="344" t="s">
        <v>146</v>
      </c>
      <c r="J28" s="341" t="s">
        <v>147</v>
      </c>
      <c r="K28" s="369" t="str">
        <f t="shared" si="15"/>
        <v/>
      </c>
      <c r="L28" s="369">
        <f t="shared" si="16"/>
        <v>0</v>
      </c>
      <c r="M28" s="343"/>
      <c r="N28" s="345" t="s">
        <v>359</v>
      </c>
      <c r="O28" s="354" t="s">
        <v>90</v>
      </c>
      <c r="P28" s="122" t="str">
        <f t="shared" ref="P28:Q28" si="19">K19</f>
        <v/>
      </c>
      <c r="Q28" s="122">
        <f t="shared" si="19"/>
        <v>1</v>
      </c>
    </row>
    <row r="29" spans="1:17" ht="15">
      <c r="A29" s="347"/>
      <c r="B29" s="250" t="s">
        <v>620</v>
      </c>
      <c r="C29" s="351" t="s">
        <v>26</v>
      </c>
      <c r="D29" s="126"/>
      <c r="E29" s="126">
        <v>0</v>
      </c>
      <c r="F29" s="343"/>
      <c r="G29" s="347"/>
      <c r="H29" s="834"/>
      <c r="I29" s="344" t="s">
        <v>148</v>
      </c>
      <c r="J29" s="341" t="s">
        <v>149</v>
      </c>
      <c r="K29" s="369" t="str">
        <f t="shared" si="15"/>
        <v/>
      </c>
      <c r="L29" s="369">
        <f t="shared" si="16"/>
        <v>55</v>
      </c>
      <c r="M29" s="343"/>
      <c r="N29" s="345" t="s">
        <v>360</v>
      </c>
      <c r="O29" s="354" t="s">
        <v>361</v>
      </c>
      <c r="P29" s="122" t="str">
        <f t="shared" ref="P29:Q29" si="20">K17</f>
        <v/>
      </c>
      <c r="Q29" s="122">
        <f t="shared" si="20"/>
        <v>195</v>
      </c>
    </row>
    <row r="30" spans="1:17" ht="15">
      <c r="A30" s="347"/>
      <c r="B30" s="250" t="s">
        <v>621</v>
      </c>
      <c r="C30" s="351" t="s">
        <v>27</v>
      </c>
      <c r="D30" s="126"/>
      <c r="E30" s="126">
        <v>54650</v>
      </c>
      <c r="F30" s="343"/>
      <c r="G30" s="347"/>
      <c r="H30" s="834"/>
      <c r="I30" s="344" t="s">
        <v>26</v>
      </c>
      <c r="J30" s="341" t="s">
        <v>150</v>
      </c>
      <c r="K30" s="369" t="str">
        <f t="shared" si="15"/>
        <v/>
      </c>
      <c r="L30" s="369">
        <f t="shared" si="16"/>
        <v>0</v>
      </c>
      <c r="M30" s="343"/>
      <c r="N30" s="345" t="s">
        <v>362</v>
      </c>
      <c r="O30" s="354" t="s">
        <v>91</v>
      </c>
      <c r="P30" s="122" t="str">
        <f t="shared" ref="P30:Q30" si="21">K22</f>
        <v/>
      </c>
      <c r="Q30" s="122">
        <f t="shared" si="21"/>
        <v>419</v>
      </c>
    </row>
    <row r="31" spans="1:17" ht="15">
      <c r="A31" s="347"/>
      <c r="B31" s="250" t="s">
        <v>498</v>
      </c>
      <c r="C31" s="351" t="s">
        <v>28</v>
      </c>
      <c r="D31" s="126"/>
      <c r="E31" s="126">
        <v>1</v>
      </c>
      <c r="F31" s="343"/>
      <c r="G31" s="347"/>
      <c r="H31" s="834"/>
      <c r="I31" s="344" t="s">
        <v>27</v>
      </c>
      <c r="J31" s="341" t="s">
        <v>95</v>
      </c>
      <c r="K31" s="369" t="str">
        <f t="shared" si="15"/>
        <v/>
      </c>
      <c r="L31" s="369">
        <f t="shared" si="16"/>
        <v>54650</v>
      </c>
      <c r="M31" s="343"/>
      <c r="N31" s="345" t="s">
        <v>363</v>
      </c>
      <c r="O31" s="354" t="s">
        <v>94</v>
      </c>
      <c r="P31" s="122" t="str">
        <f t="shared" ref="P31:Q31" si="22">K26</f>
        <v/>
      </c>
      <c r="Q31" s="122">
        <f t="shared" si="22"/>
        <v>675</v>
      </c>
    </row>
    <row r="32" spans="1:17" ht="15">
      <c r="A32" s="347"/>
      <c r="B32" s="341" t="s">
        <v>97</v>
      </c>
      <c r="C32" s="351" t="s">
        <v>29</v>
      </c>
      <c r="D32" s="126"/>
      <c r="E32" s="126">
        <v>795</v>
      </c>
      <c r="F32" s="343"/>
      <c r="G32" s="347"/>
      <c r="H32" s="834"/>
      <c r="I32" s="344" t="s">
        <v>28</v>
      </c>
      <c r="J32" s="341" t="s">
        <v>96</v>
      </c>
      <c r="K32" s="369" t="str">
        <f t="shared" si="15"/>
        <v/>
      </c>
      <c r="L32" s="369">
        <f t="shared" si="16"/>
        <v>1</v>
      </c>
      <c r="M32" s="343"/>
      <c r="N32" s="345" t="s">
        <v>364</v>
      </c>
      <c r="O32" s="354" t="s">
        <v>87</v>
      </c>
      <c r="P32" s="122" t="str">
        <f t="shared" ref="P32:Q32" si="23">K16</f>
        <v/>
      </c>
      <c r="Q32" s="122">
        <f t="shared" si="23"/>
        <v>126</v>
      </c>
    </row>
    <row r="33" spans="1:17" ht="15">
      <c r="A33" s="347"/>
      <c r="B33" s="341" t="s">
        <v>98</v>
      </c>
      <c r="C33" s="342" t="s">
        <v>99</v>
      </c>
      <c r="D33" s="126"/>
      <c r="E33" s="126">
        <v>0</v>
      </c>
      <c r="F33" s="343"/>
      <c r="G33" s="347"/>
      <c r="H33" s="834"/>
      <c r="I33" s="344" t="s">
        <v>29</v>
      </c>
      <c r="J33" s="341" t="s">
        <v>97</v>
      </c>
      <c r="K33" s="369" t="str">
        <f t="shared" si="15"/>
        <v/>
      </c>
      <c r="L33" s="369">
        <f t="shared" si="16"/>
        <v>795</v>
      </c>
      <c r="M33" s="343"/>
      <c r="N33" s="345" t="s">
        <v>365</v>
      </c>
      <c r="O33" s="354" t="s">
        <v>145</v>
      </c>
      <c r="P33" s="122" t="str">
        <f t="shared" ref="P33:Q33" si="24">K27</f>
        <v/>
      </c>
      <c r="Q33" s="122">
        <f t="shared" si="24"/>
        <v>1</v>
      </c>
    </row>
    <row r="34" spans="1:17" ht="15">
      <c r="A34" s="347"/>
      <c r="B34" s="341" t="s">
        <v>100</v>
      </c>
      <c r="C34" s="342" t="s">
        <v>101</v>
      </c>
      <c r="D34" s="126"/>
      <c r="E34" s="126">
        <v>0</v>
      </c>
      <c r="F34" s="343"/>
      <c r="G34" s="347"/>
      <c r="H34" s="834"/>
      <c r="I34" s="344" t="s">
        <v>99</v>
      </c>
      <c r="J34" s="341" t="s">
        <v>98</v>
      </c>
      <c r="K34" s="369" t="str">
        <f t="shared" si="15"/>
        <v/>
      </c>
      <c r="L34" s="369">
        <f t="shared" si="16"/>
        <v>0</v>
      </c>
      <c r="M34" s="343"/>
      <c r="N34" s="345" t="s">
        <v>366</v>
      </c>
      <c r="O34" s="354" t="s">
        <v>89</v>
      </c>
      <c r="P34" s="122" t="str">
        <f t="shared" ref="P34:Q34" si="25">K18</f>
        <v/>
      </c>
      <c r="Q34" s="122">
        <f t="shared" si="25"/>
        <v>8</v>
      </c>
    </row>
    <row r="35" spans="1:17" ht="15">
      <c r="A35" s="348"/>
      <c r="B35" s="341" t="s">
        <v>622</v>
      </c>
      <c r="C35" s="342" t="s">
        <v>30</v>
      </c>
      <c r="D35" s="126"/>
      <c r="E35" s="126">
        <v>926</v>
      </c>
      <c r="F35" s="343"/>
      <c r="G35" s="347"/>
      <c r="H35" s="834"/>
      <c r="I35" s="344" t="s">
        <v>101</v>
      </c>
      <c r="J35" s="341" t="s">
        <v>100</v>
      </c>
      <c r="K35" s="369" t="str">
        <f t="shared" si="15"/>
        <v/>
      </c>
      <c r="L35" s="369">
        <f t="shared" si="16"/>
        <v>0</v>
      </c>
      <c r="M35" s="343"/>
      <c r="N35" s="345" t="s">
        <v>367</v>
      </c>
      <c r="O35" s="354" t="s">
        <v>141</v>
      </c>
      <c r="P35" s="122" t="str">
        <f t="shared" ref="P35:Q35" si="26">K20</f>
        <v/>
      </c>
      <c r="Q35" s="122">
        <f t="shared" si="26"/>
        <v>0</v>
      </c>
    </row>
    <row r="36" spans="1:17" ht="15">
      <c r="A36" s="340" t="s">
        <v>31</v>
      </c>
      <c r="B36" s="341" t="s">
        <v>102</v>
      </c>
      <c r="C36" s="342" t="s">
        <v>33</v>
      </c>
      <c r="D36" s="126"/>
      <c r="E36" s="126">
        <v>39</v>
      </c>
      <c r="F36" s="343"/>
      <c r="G36" s="348"/>
      <c r="H36" s="831"/>
      <c r="I36" s="344" t="s">
        <v>30</v>
      </c>
      <c r="J36" s="341" t="s">
        <v>151</v>
      </c>
      <c r="K36" s="369" t="str">
        <f t="shared" si="15"/>
        <v/>
      </c>
      <c r="L36" s="369">
        <f t="shared" si="16"/>
        <v>926</v>
      </c>
      <c r="M36" s="343"/>
      <c r="N36" s="345" t="s">
        <v>368</v>
      </c>
      <c r="O36" s="354" t="s">
        <v>147</v>
      </c>
      <c r="P36" s="122" t="str">
        <f t="shared" ref="P36:Q36" si="27">K28</f>
        <v/>
      </c>
      <c r="Q36" s="122">
        <f t="shared" si="27"/>
        <v>0</v>
      </c>
    </row>
    <row r="37" spans="1:17" ht="15">
      <c r="A37" s="659"/>
      <c r="B37" s="341" t="s">
        <v>830</v>
      </c>
      <c r="C37" s="660" t="s">
        <v>507</v>
      </c>
      <c r="D37" s="126"/>
      <c r="E37" s="126">
        <v>2290</v>
      </c>
      <c r="F37" s="343"/>
      <c r="G37" s="349" t="s">
        <v>31</v>
      </c>
      <c r="H37" s="350" t="s">
        <v>32</v>
      </c>
      <c r="I37" s="344" t="s">
        <v>33</v>
      </c>
      <c r="J37" s="341" t="s">
        <v>102</v>
      </c>
      <c r="K37" s="369" t="str">
        <f t="shared" si="15"/>
        <v/>
      </c>
      <c r="L37" s="369">
        <f t="shared" si="16"/>
        <v>39</v>
      </c>
      <c r="M37" s="343"/>
      <c r="N37" s="345" t="s">
        <v>369</v>
      </c>
      <c r="O37" s="354" t="s">
        <v>86</v>
      </c>
      <c r="P37" s="122" t="str">
        <f t="shared" ref="P37:Q37" si="28">K15</f>
        <v/>
      </c>
      <c r="Q37" s="122">
        <f t="shared" si="28"/>
        <v>324</v>
      </c>
    </row>
    <row r="38" spans="1:17" ht="15">
      <c r="A38" s="340" t="s">
        <v>34</v>
      </c>
      <c r="B38" s="341" t="s">
        <v>103</v>
      </c>
      <c r="C38" s="342" t="s">
        <v>35</v>
      </c>
      <c r="D38" s="126"/>
      <c r="E38" s="126">
        <v>11154</v>
      </c>
      <c r="F38" s="343"/>
      <c r="G38" s="340" t="s">
        <v>34</v>
      </c>
      <c r="H38" s="830" t="s">
        <v>152</v>
      </c>
      <c r="I38" s="344" t="s">
        <v>35</v>
      </c>
      <c r="J38" s="341" t="s">
        <v>103</v>
      </c>
      <c r="K38" s="369" t="str">
        <f t="shared" ref="K38:K51" si="29">IF(ISNUMBER(D38),D38,"")</f>
        <v/>
      </c>
      <c r="L38" s="369">
        <f t="shared" ref="L38:L51" si="30">IF(ISNUMBER(E38),E38,"")</f>
        <v>11154</v>
      </c>
      <c r="M38" s="343"/>
      <c r="N38" s="345" t="s">
        <v>370</v>
      </c>
      <c r="O38" s="354" t="s">
        <v>143</v>
      </c>
      <c r="P38" s="122" t="str">
        <f t="shared" ref="P38:Q38" si="31">K21</f>
        <v/>
      </c>
      <c r="Q38" s="122">
        <f t="shared" si="31"/>
        <v>0</v>
      </c>
    </row>
    <row r="39" spans="1:17" ht="15">
      <c r="A39" s="348"/>
      <c r="B39" s="341" t="s">
        <v>104</v>
      </c>
      <c r="C39" s="342" t="s">
        <v>105</v>
      </c>
      <c r="D39" s="126"/>
      <c r="E39" s="126">
        <v>881</v>
      </c>
      <c r="F39" s="343"/>
      <c r="G39" s="348"/>
      <c r="H39" s="831"/>
      <c r="I39" s="344" t="s">
        <v>105</v>
      </c>
      <c r="J39" s="341" t="s">
        <v>104</v>
      </c>
      <c r="K39" s="369" t="str">
        <f t="shared" si="29"/>
        <v/>
      </c>
      <c r="L39" s="369">
        <f t="shared" si="30"/>
        <v>881</v>
      </c>
      <c r="M39" s="343"/>
      <c r="N39" s="345" t="s">
        <v>371</v>
      </c>
      <c r="O39" s="354" t="s">
        <v>93</v>
      </c>
      <c r="P39" s="122" t="str">
        <f t="shared" ref="P39:Q39" si="32">K25</f>
        <v/>
      </c>
      <c r="Q39" s="122">
        <f t="shared" si="32"/>
        <v>13605</v>
      </c>
    </row>
    <row r="40" spans="1:17" ht="15">
      <c r="A40" s="340" t="s">
        <v>37</v>
      </c>
      <c r="B40" s="341" t="s">
        <v>106</v>
      </c>
      <c r="C40" s="342" t="s">
        <v>38</v>
      </c>
      <c r="D40" s="126"/>
      <c r="E40" s="126">
        <v>145</v>
      </c>
      <c r="F40" s="343"/>
      <c r="G40" s="340" t="s">
        <v>37</v>
      </c>
      <c r="H40" s="830" t="s">
        <v>153</v>
      </c>
      <c r="I40" s="344" t="s">
        <v>38</v>
      </c>
      <c r="J40" s="341" t="s">
        <v>106</v>
      </c>
      <c r="K40" s="369" t="str">
        <f t="shared" si="29"/>
        <v/>
      </c>
      <c r="L40" s="369">
        <f t="shared" si="30"/>
        <v>145</v>
      </c>
      <c r="M40" s="343"/>
      <c r="N40" s="345" t="s">
        <v>372</v>
      </c>
      <c r="O40" s="354" t="s">
        <v>85</v>
      </c>
      <c r="P40" s="122" t="str">
        <f t="shared" ref="P40:Q40" si="33">K14</f>
        <v/>
      </c>
      <c r="Q40" s="122">
        <f t="shared" si="33"/>
        <v>988</v>
      </c>
    </row>
    <row r="41" spans="1:17" ht="15">
      <c r="A41" s="340"/>
      <c r="B41" s="341" t="s">
        <v>623</v>
      </c>
      <c r="C41" s="312" t="s">
        <v>39</v>
      </c>
      <c r="D41" s="126"/>
      <c r="E41" s="126">
        <v>2000</v>
      </c>
      <c r="F41" s="343"/>
      <c r="G41" s="347"/>
      <c r="H41" s="834"/>
      <c r="I41" s="344" t="s">
        <v>39</v>
      </c>
      <c r="J41" s="341" t="s">
        <v>107</v>
      </c>
      <c r="K41" s="369" t="str">
        <f t="shared" si="29"/>
        <v/>
      </c>
      <c r="L41" s="369">
        <f t="shared" si="30"/>
        <v>2000</v>
      </c>
      <c r="M41" s="343"/>
      <c r="N41" s="345" t="s">
        <v>373</v>
      </c>
      <c r="O41" s="354" t="s">
        <v>374</v>
      </c>
      <c r="P41" s="122" t="str">
        <f t="shared" ref="P41:Q43" si="34">K10</f>
        <v/>
      </c>
      <c r="Q41" s="122">
        <f t="shared" si="34"/>
        <v>15</v>
      </c>
    </row>
    <row r="42" spans="1:17" ht="15">
      <c r="A42" s="347"/>
      <c r="B42" s="341" t="s">
        <v>108</v>
      </c>
      <c r="C42" s="342" t="s">
        <v>40</v>
      </c>
      <c r="D42" s="126"/>
      <c r="E42" s="126">
        <v>391</v>
      </c>
      <c r="F42" s="343"/>
      <c r="G42" s="347"/>
      <c r="H42" s="834"/>
      <c r="I42" s="344" t="s">
        <v>40</v>
      </c>
      <c r="J42" s="341" t="s">
        <v>108</v>
      </c>
      <c r="K42" s="369" t="str">
        <f t="shared" si="29"/>
        <v/>
      </c>
      <c r="L42" s="369">
        <f t="shared" si="30"/>
        <v>391</v>
      </c>
      <c r="M42" s="343"/>
      <c r="N42" s="345" t="s">
        <v>375</v>
      </c>
      <c r="O42" s="354" t="s">
        <v>82</v>
      </c>
      <c r="P42" s="123" t="str">
        <f t="shared" si="34"/>
        <v/>
      </c>
      <c r="Q42" s="123">
        <f t="shared" si="34"/>
        <v>14092</v>
      </c>
    </row>
    <row r="43" spans="1:17" ht="15">
      <c r="A43" s="348"/>
      <c r="B43" s="341" t="s">
        <v>109</v>
      </c>
      <c r="C43" s="344" t="s">
        <v>41</v>
      </c>
      <c r="D43" s="126"/>
      <c r="E43" s="126">
        <v>11195</v>
      </c>
      <c r="F43" s="343"/>
      <c r="G43" s="348"/>
      <c r="H43" s="831"/>
      <c r="I43" s="344" t="s">
        <v>41</v>
      </c>
      <c r="J43" s="341" t="s">
        <v>109</v>
      </c>
      <c r="K43" s="369" t="str">
        <f t="shared" si="29"/>
        <v/>
      </c>
      <c r="L43" s="369">
        <f t="shared" si="30"/>
        <v>11195</v>
      </c>
      <c r="M43" s="343"/>
      <c r="N43" s="345" t="s">
        <v>376</v>
      </c>
      <c r="O43" s="354" t="s">
        <v>83</v>
      </c>
      <c r="P43" s="123" t="str">
        <f t="shared" si="34"/>
        <v/>
      </c>
      <c r="Q43" s="123">
        <f t="shared" si="34"/>
        <v>223589</v>
      </c>
    </row>
    <row r="44" spans="1:17" ht="15">
      <c r="A44" s="340" t="s">
        <v>42</v>
      </c>
      <c r="B44" s="341" t="s">
        <v>110</v>
      </c>
      <c r="C44" s="312" t="s">
        <v>43</v>
      </c>
      <c r="D44" s="126"/>
      <c r="E44" s="126">
        <v>1567</v>
      </c>
      <c r="F44" s="343"/>
      <c r="G44" s="340" t="s">
        <v>42</v>
      </c>
      <c r="H44" s="830" t="s">
        <v>154</v>
      </c>
      <c r="I44" s="344" t="s">
        <v>43</v>
      </c>
      <c r="J44" s="341" t="s">
        <v>110</v>
      </c>
      <c r="K44" s="369" t="str">
        <f t="shared" si="29"/>
        <v/>
      </c>
      <c r="L44" s="369">
        <f t="shared" si="30"/>
        <v>1567</v>
      </c>
      <c r="M44" s="343"/>
      <c r="N44" s="345" t="s">
        <v>377</v>
      </c>
      <c r="O44" s="354" t="s">
        <v>378</v>
      </c>
      <c r="P44" s="123" t="str">
        <f t="shared" ref="P44:Q44" si="35">K71</f>
        <v/>
      </c>
      <c r="Q44" s="123">
        <f t="shared" si="35"/>
        <v>115323</v>
      </c>
    </row>
    <row r="45" spans="1:17" ht="15">
      <c r="A45" s="347"/>
      <c r="B45" s="341" t="s">
        <v>111</v>
      </c>
      <c r="C45" s="342" t="s">
        <v>44</v>
      </c>
      <c r="D45" s="126"/>
      <c r="E45" s="126">
        <v>51</v>
      </c>
      <c r="F45" s="343"/>
      <c r="G45" s="347"/>
      <c r="H45" s="834"/>
      <c r="I45" s="344" t="s">
        <v>44</v>
      </c>
      <c r="J45" s="341" t="s">
        <v>111</v>
      </c>
      <c r="K45" s="369" t="str">
        <f t="shared" si="29"/>
        <v/>
      </c>
      <c r="L45" s="369">
        <f t="shared" si="30"/>
        <v>51</v>
      </c>
      <c r="M45" s="343"/>
      <c r="N45" s="345" t="s">
        <v>379</v>
      </c>
      <c r="O45" s="354" t="s">
        <v>176</v>
      </c>
      <c r="P45" s="123" t="str">
        <f t="shared" ref="P45:Q45" si="36">K45</f>
        <v/>
      </c>
      <c r="Q45" s="123">
        <f t="shared" si="36"/>
        <v>51</v>
      </c>
    </row>
    <row r="46" spans="1:17" ht="15">
      <c r="A46" s="347"/>
      <c r="B46" s="341" t="s">
        <v>155</v>
      </c>
      <c r="C46" s="342" t="s">
        <v>45</v>
      </c>
      <c r="D46" s="126"/>
      <c r="E46" s="126">
        <v>206</v>
      </c>
      <c r="F46" s="343"/>
      <c r="G46" s="348"/>
      <c r="H46" s="831"/>
      <c r="I46" s="344" t="s">
        <v>45</v>
      </c>
      <c r="J46" s="341" t="s">
        <v>155</v>
      </c>
      <c r="K46" s="369" t="str">
        <f t="shared" si="29"/>
        <v/>
      </c>
      <c r="L46" s="369">
        <f t="shared" si="30"/>
        <v>206</v>
      </c>
      <c r="M46" s="343"/>
      <c r="N46" s="345" t="s">
        <v>380</v>
      </c>
      <c r="O46" s="354" t="s">
        <v>381</v>
      </c>
      <c r="P46" s="123" t="str">
        <f t="shared" ref="P46:Q46" si="37">K59</f>
        <v/>
      </c>
      <c r="Q46" s="123">
        <f t="shared" si="37"/>
        <v>9</v>
      </c>
    </row>
    <row r="47" spans="1:17" ht="15">
      <c r="A47" s="340" t="s">
        <v>46</v>
      </c>
      <c r="B47" s="341" t="s">
        <v>624</v>
      </c>
      <c r="C47" s="314" t="s">
        <v>47</v>
      </c>
      <c r="D47" s="126"/>
      <c r="E47" s="126">
        <v>72504</v>
      </c>
      <c r="F47" s="343"/>
      <c r="G47" s="340" t="s">
        <v>46</v>
      </c>
      <c r="H47" s="830" t="s">
        <v>156</v>
      </c>
      <c r="I47" s="344" t="s">
        <v>47</v>
      </c>
      <c r="J47" s="341" t="s">
        <v>112</v>
      </c>
      <c r="K47" s="369" t="str">
        <f t="shared" si="29"/>
        <v/>
      </c>
      <c r="L47" s="369">
        <f t="shared" si="30"/>
        <v>72504</v>
      </c>
      <c r="M47" s="343"/>
      <c r="N47" s="345" t="s">
        <v>382</v>
      </c>
      <c r="O47" s="354" t="s">
        <v>383</v>
      </c>
      <c r="P47" s="123" t="str">
        <f t="shared" ref="P47:Q47" si="38">K55</f>
        <v/>
      </c>
      <c r="Q47" s="123">
        <f t="shared" si="38"/>
        <v>955</v>
      </c>
    </row>
    <row r="48" spans="1:17" ht="15">
      <c r="A48" s="347"/>
      <c r="B48" s="341" t="s">
        <v>625</v>
      </c>
      <c r="C48" s="342" t="s">
        <v>48</v>
      </c>
      <c r="D48" s="126"/>
      <c r="E48" s="126">
        <v>195079</v>
      </c>
      <c r="F48" s="343"/>
      <c r="G48" s="347"/>
      <c r="H48" s="834"/>
      <c r="I48" s="344" t="s">
        <v>48</v>
      </c>
      <c r="J48" s="341" t="s">
        <v>157</v>
      </c>
      <c r="K48" s="369" t="str">
        <f t="shared" si="29"/>
        <v/>
      </c>
      <c r="L48" s="369">
        <f t="shared" si="30"/>
        <v>195079</v>
      </c>
      <c r="M48" s="343"/>
      <c r="N48" s="345" t="s">
        <v>384</v>
      </c>
      <c r="O48" s="354" t="s">
        <v>106</v>
      </c>
      <c r="P48" s="123" t="str">
        <f t="shared" ref="P48:Q48" si="39">K40</f>
        <v/>
      </c>
      <c r="Q48" s="123">
        <f t="shared" si="39"/>
        <v>145</v>
      </c>
    </row>
    <row r="49" spans="1:17" ht="15">
      <c r="A49" s="355"/>
      <c r="B49" s="341" t="s">
        <v>626</v>
      </c>
      <c r="C49" s="342" t="s">
        <v>49</v>
      </c>
      <c r="D49" s="126"/>
      <c r="E49" s="126">
        <v>178</v>
      </c>
      <c r="F49" s="343"/>
      <c r="G49" s="348"/>
      <c r="H49" s="831"/>
      <c r="I49" s="344" t="s">
        <v>49</v>
      </c>
      <c r="J49" s="341" t="s">
        <v>158</v>
      </c>
      <c r="K49" s="369" t="str">
        <f t="shared" si="29"/>
        <v/>
      </c>
      <c r="L49" s="369">
        <f t="shared" si="30"/>
        <v>178</v>
      </c>
      <c r="M49" s="343"/>
      <c r="N49" s="345" t="s">
        <v>385</v>
      </c>
      <c r="O49" s="354" t="s">
        <v>108</v>
      </c>
      <c r="P49" s="123" t="str">
        <f t="shared" ref="P49:Q49" si="40">K42</f>
        <v/>
      </c>
      <c r="Q49" s="123">
        <f t="shared" si="40"/>
        <v>391</v>
      </c>
    </row>
    <row r="50" spans="1:17" ht="15" customHeight="1">
      <c r="A50" s="356" t="s">
        <v>50</v>
      </c>
      <c r="B50" s="341" t="s">
        <v>113</v>
      </c>
      <c r="C50" s="342" t="s">
        <v>51</v>
      </c>
      <c r="D50" s="126"/>
      <c r="E50" s="126">
        <v>63279</v>
      </c>
      <c r="F50" s="343"/>
      <c r="G50" s="340" t="s">
        <v>50</v>
      </c>
      <c r="H50" s="830" t="s">
        <v>159</v>
      </c>
      <c r="I50" s="344" t="s">
        <v>51</v>
      </c>
      <c r="J50" s="341" t="s">
        <v>113</v>
      </c>
      <c r="K50" s="369" t="str">
        <f>IF(OR(ISNUMBER(D50),ISNUMBER(D55)),D50+D55,"")</f>
        <v/>
      </c>
      <c r="L50" s="369">
        <f>IF(OR(ISNUMBER(E50),ISNUMBER(E55)),E50+E55,"")</f>
        <v>122074</v>
      </c>
      <c r="M50" s="343"/>
      <c r="N50" s="345" t="s">
        <v>386</v>
      </c>
      <c r="O50" s="354" t="s">
        <v>107</v>
      </c>
      <c r="P50" s="123" t="str">
        <f t="shared" ref="P50:Q50" si="41">K41</f>
        <v/>
      </c>
      <c r="Q50" s="123">
        <f t="shared" si="41"/>
        <v>2000</v>
      </c>
    </row>
    <row r="51" spans="1:17" ht="15">
      <c r="A51" s="357"/>
      <c r="B51" s="341" t="s">
        <v>114</v>
      </c>
      <c r="C51" s="342" t="s">
        <v>115</v>
      </c>
      <c r="D51" s="126"/>
      <c r="E51" s="126">
        <v>127541</v>
      </c>
      <c r="F51" s="343"/>
      <c r="G51" s="347"/>
      <c r="H51" s="834"/>
      <c r="I51" s="344" t="s">
        <v>115</v>
      </c>
      <c r="J51" s="341" t="s">
        <v>114</v>
      </c>
      <c r="K51" s="369" t="str">
        <f t="shared" si="29"/>
        <v/>
      </c>
      <c r="L51" s="369">
        <f t="shared" si="30"/>
        <v>127541</v>
      </c>
      <c r="M51" s="343"/>
      <c r="N51" s="345" t="s">
        <v>387</v>
      </c>
      <c r="O51" s="354" t="s">
        <v>388</v>
      </c>
      <c r="P51" s="122" t="str">
        <f t="shared" ref="P51:Q52" si="42">K57</f>
        <v/>
      </c>
      <c r="Q51" s="122">
        <f t="shared" si="42"/>
        <v>0</v>
      </c>
    </row>
    <row r="52" spans="1:17">
      <c r="A52" s="357"/>
      <c r="B52" s="142" t="s">
        <v>627</v>
      </c>
      <c r="C52" s="342" t="s">
        <v>628</v>
      </c>
      <c r="D52" s="368"/>
      <c r="E52" s="657">
        <v>1053183</v>
      </c>
      <c r="F52" s="339"/>
      <c r="G52" s="347"/>
      <c r="H52" s="834"/>
      <c r="I52" s="344" t="s">
        <v>52</v>
      </c>
      <c r="J52" s="341" t="s">
        <v>116</v>
      </c>
      <c r="K52" s="369" t="str">
        <f t="shared" ref="K52:K53" si="43">IF(ISNUMBER(D53),D53,"")</f>
        <v/>
      </c>
      <c r="L52" s="369">
        <f t="shared" ref="L52:L53" si="44">IF(ISNUMBER(E53),E53,"")</f>
        <v>6155</v>
      </c>
      <c r="M52" s="339"/>
      <c r="N52" s="345" t="s">
        <v>389</v>
      </c>
      <c r="O52" s="354" t="s">
        <v>390</v>
      </c>
      <c r="P52" s="122" t="str">
        <f t="shared" si="42"/>
        <v/>
      </c>
      <c r="Q52" s="122">
        <f t="shared" si="42"/>
        <v>0</v>
      </c>
    </row>
    <row r="53" spans="1:17" ht="15">
      <c r="A53" s="358"/>
      <c r="B53" s="341" t="s">
        <v>116</v>
      </c>
      <c r="C53" s="342" t="s">
        <v>52</v>
      </c>
      <c r="D53" s="126"/>
      <c r="E53" s="126">
        <v>6155</v>
      </c>
      <c r="F53" s="343"/>
      <c r="G53" s="348"/>
      <c r="H53" s="831"/>
      <c r="I53" s="344" t="s">
        <v>118</v>
      </c>
      <c r="J53" s="341" t="s">
        <v>117</v>
      </c>
      <c r="K53" s="369" t="str">
        <f t="shared" si="43"/>
        <v/>
      </c>
      <c r="L53" s="369">
        <f t="shared" si="44"/>
        <v>0</v>
      </c>
      <c r="M53" s="343"/>
      <c r="N53" s="345" t="s">
        <v>391</v>
      </c>
      <c r="O53" s="354" t="s">
        <v>392</v>
      </c>
      <c r="P53" s="122" t="str">
        <f t="shared" ref="P53:Q53" si="45">K56</f>
        <v/>
      </c>
      <c r="Q53" s="122">
        <f t="shared" si="45"/>
        <v>15</v>
      </c>
    </row>
    <row r="54" spans="1:17" ht="15" customHeight="1">
      <c r="A54" s="358"/>
      <c r="B54" s="341" t="s">
        <v>117</v>
      </c>
      <c r="C54" s="342" t="s">
        <v>118</v>
      </c>
      <c r="D54" s="126"/>
      <c r="E54" s="126">
        <v>0</v>
      </c>
      <c r="F54" s="343"/>
      <c r="G54" s="340" t="s">
        <v>53</v>
      </c>
      <c r="H54" s="830" t="s">
        <v>54</v>
      </c>
      <c r="I54" s="344" t="s">
        <v>55</v>
      </c>
      <c r="J54" s="350" t="s">
        <v>160</v>
      </c>
      <c r="K54" s="369" t="str">
        <f t="shared" ref="K54:K64" si="46">IF(ISNUMBER(D56),D56,"")</f>
        <v/>
      </c>
      <c r="L54" s="369">
        <f t="shared" ref="L54:L64" si="47">IF(ISNUMBER(E56),E56,"")</f>
        <v>1556</v>
      </c>
      <c r="M54" s="343"/>
      <c r="N54" s="62"/>
      <c r="O54" s="73" t="s">
        <v>405</v>
      </c>
      <c r="P54" s="115"/>
      <c r="Q54" s="116"/>
    </row>
    <row r="55" spans="1:17" s="362" customFormat="1" ht="15">
      <c r="A55" s="754"/>
      <c r="B55" s="756" t="s">
        <v>865</v>
      </c>
      <c r="C55" s="755" t="s">
        <v>546</v>
      </c>
      <c r="D55" s="126"/>
      <c r="E55" s="126">
        <v>58795</v>
      </c>
      <c r="F55" s="359"/>
      <c r="G55" s="347"/>
      <c r="H55" s="834"/>
      <c r="I55" s="344" t="s">
        <v>56</v>
      </c>
      <c r="J55" s="341" t="s">
        <v>161</v>
      </c>
      <c r="K55" s="369" t="str">
        <f t="shared" si="46"/>
        <v/>
      </c>
      <c r="L55" s="369">
        <f t="shared" si="47"/>
        <v>955</v>
      </c>
      <c r="M55" s="359"/>
      <c r="N55" s="360" t="s">
        <v>393</v>
      </c>
      <c r="O55" s="361" t="s">
        <v>394</v>
      </c>
      <c r="P55" s="371"/>
      <c r="Q55" s="371"/>
    </row>
    <row r="56" spans="1:17" ht="25.5">
      <c r="A56" s="340" t="s">
        <v>53</v>
      </c>
      <c r="B56" s="350" t="s">
        <v>629</v>
      </c>
      <c r="C56" s="342" t="s">
        <v>55</v>
      </c>
      <c r="D56" s="126"/>
      <c r="E56" s="126">
        <v>1556</v>
      </c>
      <c r="F56" s="343"/>
      <c r="G56" s="347"/>
      <c r="H56" s="834"/>
      <c r="I56" s="344" t="s">
        <v>57</v>
      </c>
      <c r="J56" s="341" t="s">
        <v>162</v>
      </c>
      <c r="K56" s="369" t="str">
        <f t="shared" si="46"/>
        <v/>
      </c>
      <c r="L56" s="369">
        <f t="shared" si="47"/>
        <v>15</v>
      </c>
      <c r="M56" s="343"/>
      <c r="N56" s="345" t="s">
        <v>395</v>
      </c>
      <c r="O56" s="354" t="s">
        <v>396</v>
      </c>
      <c r="P56" s="371"/>
      <c r="Q56" s="371"/>
    </row>
    <row r="57" spans="1:17" ht="15">
      <c r="A57" s="355"/>
      <c r="B57" s="341" t="s">
        <v>161</v>
      </c>
      <c r="C57" s="342" t="s">
        <v>56</v>
      </c>
      <c r="D57" s="126"/>
      <c r="E57" s="126">
        <v>955</v>
      </c>
      <c r="F57" s="343"/>
      <c r="G57" s="347"/>
      <c r="H57" s="834"/>
      <c r="I57" s="344" t="s">
        <v>120</v>
      </c>
      <c r="J57" s="341" t="s">
        <v>119</v>
      </c>
      <c r="K57" s="369" t="str">
        <f t="shared" si="46"/>
        <v/>
      </c>
      <c r="L57" s="369">
        <f t="shared" si="47"/>
        <v>0</v>
      </c>
      <c r="M57" s="343"/>
      <c r="N57" s="72"/>
      <c r="O57" s="73" t="s">
        <v>408</v>
      </c>
      <c r="P57" s="117"/>
      <c r="Q57" s="118"/>
    </row>
    <row r="58" spans="1:17" ht="15">
      <c r="A58" s="355"/>
      <c r="B58" s="341" t="s">
        <v>630</v>
      </c>
      <c r="C58" s="342" t="s">
        <v>57</v>
      </c>
      <c r="D58" s="126"/>
      <c r="E58" s="126">
        <v>15</v>
      </c>
      <c r="F58" s="343"/>
      <c r="G58" s="347"/>
      <c r="H58" s="834"/>
      <c r="I58" s="344" t="s">
        <v>122</v>
      </c>
      <c r="J58" s="341" t="s">
        <v>121</v>
      </c>
      <c r="K58" s="369" t="str">
        <f t="shared" si="46"/>
        <v/>
      </c>
      <c r="L58" s="369">
        <f t="shared" si="47"/>
        <v>0</v>
      </c>
      <c r="M58" s="343"/>
      <c r="N58" s="58">
        <v>1</v>
      </c>
      <c r="O58" s="76" t="s">
        <v>397</v>
      </c>
      <c r="P58" s="369">
        <f>SUM(K23:K24,K29:K30)</f>
        <v>0</v>
      </c>
      <c r="Q58" s="369">
        <f t="shared" ref="Q58" si="48">SUM(L23:L24,L29:L30)</f>
        <v>183</v>
      </c>
    </row>
    <row r="59" spans="1:17" ht="15">
      <c r="A59" s="355"/>
      <c r="B59" s="341" t="s">
        <v>119</v>
      </c>
      <c r="C59" s="342" t="s">
        <v>120</v>
      </c>
      <c r="D59" s="126"/>
      <c r="E59" s="126">
        <v>0</v>
      </c>
      <c r="F59" s="343"/>
      <c r="G59" s="347"/>
      <c r="H59" s="834"/>
      <c r="I59" s="344" t="s">
        <v>124</v>
      </c>
      <c r="J59" s="341" t="s">
        <v>123</v>
      </c>
      <c r="K59" s="369" t="str">
        <f t="shared" si="46"/>
        <v/>
      </c>
      <c r="L59" s="369">
        <f t="shared" si="47"/>
        <v>9</v>
      </c>
      <c r="M59" s="343"/>
      <c r="N59" s="58">
        <v>2</v>
      </c>
      <c r="O59" s="76" t="s">
        <v>398</v>
      </c>
      <c r="P59" s="369">
        <f>SUM(K31:K33,K36)</f>
        <v>0</v>
      </c>
      <c r="Q59" s="369">
        <f>SUM(L31:L33,L36)</f>
        <v>56372</v>
      </c>
    </row>
    <row r="60" spans="1:17" ht="15">
      <c r="A60" s="355"/>
      <c r="B60" s="341" t="s">
        <v>121</v>
      </c>
      <c r="C60" s="342" t="s">
        <v>122</v>
      </c>
      <c r="D60" s="126"/>
      <c r="E60" s="126">
        <v>0</v>
      </c>
      <c r="F60" s="343"/>
      <c r="G60" s="347"/>
      <c r="H60" s="834"/>
      <c r="I60" s="344" t="s">
        <v>58</v>
      </c>
      <c r="J60" s="341" t="s">
        <v>136</v>
      </c>
      <c r="K60" s="369" t="str">
        <f t="shared" si="46"/>
        <v/>
      </c>
      <c r="L60" s="369">
        <f t="shared" si="47"/>
        <v>37</v>
      </c>
      <c r="M60" s="343"/>
      <c r="N60" s="58">
        <v>3</v>
      </c>
      <c r="O60" s="76" t="s">
        <v>323</v>
      </c>
      <c r="P60" s="369">
        <f>SUM(K60:K63)</f>
        <v>0</v>
      </c>
      <c r="Q60" s="369">
        <f>SUM(L60:L63)</f>
        <v>857</v>
      </c>
    </row>
    <row r="61" spans="1:17" ht="15">
      <c r="A61" s="355"/>
      <c r="B61" s="341" t="s">
        <v>123</v>
      </c>
      <c r="C61" s="342" t="s">
        <v>124</v>
      </c>
      <c r="D61" s="126"/>
      <c r="E61" s="126">
        <v>9</v>
      </c>
      <c r="F61" s="343"/>
      <c r="G61" s="347"/>
      <c r="H61" s="834"/>
      <c r="I61" s="344" t="s">
        <v>59</v>
      </c>
      <c r="J61" s="341" t="s">
        <v>125</v>
      </c>
      <c r="K61" s="369" t="str">
        <f t="shared" si="46"/>
        <v/>
      </c>
      <c r="L61" s="369">
        <f t="shared" si="47"/>
        <v>391</v>
      </c>
      <c r="M61" s="343"/>
      <c r="N61" s="58">
        <v>4</v>
      </c>
      <c r="O61" s="76" t="s">
        <v>159</v>
      </c>
      <c r="P61" s="369">
        <f>SUM(K50:K51,K52:K53)</f>
        <v>0</v>
      </c>
      <c r="Q61" s="369">
        <f>SUM(L50:L51,L52:L53)</f>
        <v>255770</v>
      </c>
    </row>
    <row r="62" spans="1:17" ht="30.75" customHeight="1">
      <c r="A62" s="355"/>
      <c r="B62" s="341" t="s">
        <v>136</v>
      </c>
      <c r="C62" s="342" t="s">
        <v>58</v>
      </c>
      <c r="D62" s="126"/>
      <c r="E62" s="126">
        <v>37</v>
      </c>
      <c r="F62" s="343"/>
      <c r="G62" s="347"/>
      <c r="H62" s="834"/>
      <c r="I62" s="344" t="s">
        <v>60</v>
      </c>
      <c r="J62" s="350" t="s">
        <v>163</v>
      </c>
      <c r="K62" s="369" t="str">
        <f t="shared" si="46"/>
        <v/>
      </c>
      <c r="L62" s="369">
        <f t="shared" si="47"/>
        <v>424</v>
      </c>
      <c r="M62" s="343"/>
      <c r="N62" s="58">
        <v>5</v>
      </c>
      <c r="O62" s="48" t="s">
        <v>399</v>
      </c>
      <c r="P62" s="369" t="str">
        <f>K64</f>
        <v/>
      </c>
      <c r="Q62" s="369">
        <f>L64</f>
        <v>0</v>
      </c>
    </row>
    <row r="63" spans="1:17" ht="25.5" customHeight="1">
      <c r="A63" s="355"/>
      <c r="B63" s="341" t="s">
        <v>125</v>
      </c>
      <c r="C63" s="342" t="s">
        <v>59</v>
      </c>
      <c r="D63" s="126"/>
      <c r="E63" s="126">
        <v>391</v>
      </c>
      <c r="F63" s="343"/>
      <c r="G63" s="348"/>
      <c r="H63" s="831"/>
      <c r="I63" s="344" t="s">
        <v>61</v>
      </c>
      <c r="J63" s="341" t="s">
        <v>126</v>
      </c>
      <c r="K63" s="369" t="str">
        <f t="shared" si="46"/>
        <v/>
      </c>
      <c r="L63" s="369">
        <f t="shared" si="47"/>
        <v>5</v>
      </c>
      <c r="M63" s="343"/>
      <c r="N63" s="58">
        <v>6</v>
      </c>
      <c r="O63" s="248" t="s">
        <v>468</v>
      </c>
      <c r="P63" s="369">
        <f>K65</f>
        <v>0</v>
      </c>
      <c r="Q63" s="369">
        <f>L65</f>
        <v>0</v>
      </c>
    </row>
    <row r="64" spans="1:17" ht="31.5" customHeight="1">
      <c r="A64" s="355"/>
      <c r="B64" s="350" t="s">
        <v>163</v>
      </c>
      <c r="C64" s="342" t="s">
        <v>60</v>
      </c>
      <c r="D64" s="126"/>
      <c r="E64" s="126">
        <v>424</v>
      </c>
      <c r="F64" s="343"/>
      <c r="G64" s="340" t="s">
        <v>62</v>
      </c>
      <c r="H64" s="830" t="s">
        <v>164</v>
      </c>
      <c r="I64" s="344" t="s">
        <v>63</v>
      </c>
      <c r="J64" s="341" t="s">
        <v>165</v>
      </c>
      <c r="K64" s="369" t="str">
        <f t="shared" si="46"/>
        <v/>
      </c>
      <c r="L64" s="369">
        <f t="shared" si="47"/>
        <v>0</v>
      </c>
      <c r="M64" s="343"/>
      <c r="N64" s="58">
        <v>7</v>
      </c>
      <c r="O64" s="248" t="s">
        <v>469</v>
      </c>
      <c r="P64" s="369">
        <f>SUM(K66,K69)</f>
        <v>0</v>
      </c>
      <c r="Q64" s="369">
        <f>SUM(L66,L69)</f>
        <v>10396</v>
      </c>
    </row>
    <row r="65" spans="1:17" ht="15">
      <c r="A65" s="363"/>
      <c r="B65" s="341" t="s">
        <v>126</v>
      </c>
      <c r="C65" s="342" t="s">
        <v>61</v>
      </c>
      <c r="D65" s="126"/>
      <c r="E65" s="126">
        <v>5</v>
      </c>
      <c r="F65" s="343"/>
      <c r="G65" s="347"/>
      <c r="H65" s="834"/>
      <c r="I65" s="344" t="s">
        <v>64</v>
      </c>
      <c r="J65" s="341" t="s">
        <v>127</v>
      </c>
      <c r="K65" s="371"/>
      <c r="L65" s="371"/>
      <c r="M65" s="343"/>
      <c r="N65" s="58">
        <v>8</v>
      </c>
      <c r="O65" s="76" t="s">
        <v>133</v>
      </c>
      <c r="P65" s="369" t="str">
        <f>K78</f>
        <v/>
      </c>
      <c r="Q65" s="369">
        <f>L78</f>
        <v>39961</v>
      </c>
    </row>
    <row r="66" spans="1:17" ht="15">
      <c r="A66" s="340" t="s">
        <v>62</v>
      </c>
      <c r="B66" s="341" t="s">
        <v>631</v>
      </c>
      <c r="C66" s="342" t="s">
        <v>63</v>
      </c>
      <c r="D66" s="126"/>
      <c r="E66" s="126">
        <v>0</v>
      </c>
      <c r="F66" s="343"/>
      <c r="G66" s="347"/>
      <c r="H66" s="834"/>
      <c r="I66" s="344" t="s">
        <v>65</v>
      </c>
      <c r="J66" s="341" t="s">
        <v>166</v>
      </c>
      <c r="K66" s="369" t="str">
        <f t="shared" ref="K66:L71" si="49">IF(ISNUMBER(D67),D67,"")</f>
        <v/>
      </c>
      <c r="L66" s="369">
        <f t="shared" si="49"/>
        <v>1236</v>
      </c>
      <c r="M66" s="343"/>
      <c r="P66" s="372"/>
      <c r="Q66" s="372"/>
    </row>
    <row r="67" spans="1:17">
      <c r="A67" s="347"/>
      <c r="B67" s="341" t="s">
        <v>166</v>
      </c>
      <c r="C67" s="310" t="s">
        <v>65</v>
      </c>
      <c r="D67" s="126"/>
      <c r="E67" s="126">
        <v>1236</v>
      </c>
      <c r="F67" s="339"/>
      <c r="G67" s="347"/>
      <c r="H67" s="834"/>
      <c r="I67" s="344" t="s">
        <v>66</v>
      </c>
      <c r="J67" s="341" t="s">
        <v>173</v>
      </c>
      <c r="K67" s="369" t="str">
        <f t="shared" si="49"/>
        <v/>
      </c>
      <c r="L67" s="369">
        <f t="shared" si="49"/>
        <v>3975</v>
      </c>
      <c r="M67" s="339"/>
    </row>
    <row r="68" spans="1:17" ht="15">
      <c r="A68" s="347"/>
      <c r="B68" s="142" t="s">
        <v>578</v>
      </c>
      <c r="C68" s="310" t="s">
        <v>66</v>
      </c>
      <c r="D68" s="126"/>
      <c r="E68" s="126">
        <v>3975</v>
      </c>
      <c r="F68" s="343"/>
      <c r="G68" s="347"/>
      <c r="H68" s="834"/>
      <c r="I68" s="344" t="s">
        <v>67</v>
      </c>
      <c r="J68" s="341" t="s">
        <v>174</v>
      </c>
      <c r="K68" s="369" t="str">
        <f t="shared" si="49"/>
        <v/>
      </c>
      <c r="L68" s="369">
        <f t="shared" si="49"/>
        <v>12397</v>
      </c>
      <c r="M68" s="343"/>
    </row>
    <row r="69" spans="1:17" ht="15">
      <c r="A69" s="347"/>
      <c r="B69" s="341" t="s">
        <v>174</v>
      </c>
      <c r="C69" s="342" t="s">
        <v>67</v>
      </c>
      <c r="D69" s="126"/>
      <c r="E69" s="126">
        <v>12397</v>
      </c>
      <c r="F69" s="343"/>
      <c r="G69" s="347"/>
      <c r="H69" s="834"/>
      <c r="I69" s="344" t="s">
        <v>68</v>
      </c>
      <c r="J69" s="341" t="s">
        <v>175</v>
      </c>
      <c r="K69" s="369" t="str">
        <f t="shared" si="49"/>
        <v/>
      </c>
      <c r="L69" s="369">
        <f t="shared" si="49"/>
        <v>9160</v>
      </c>
      <c r="M69" s="343"/>
    </row>
    <row r="70" spans="1:17" ht="15">
      <c r="A70" s="347"/>
      <c r="B70" s="341" t="s">
        <v>419</v>
      </c>
      <c r="C70" s="342" t="s">
        <v>68</v>
      </c>
      <c r="D70" s="126"/>
      <c r="E70" s="126">
        <v>9160</v>
      </c>
      <c r="F70" s="343"/>
      <c r="G70" s="347"/>
      <c r="H70" s="834"/>
      <c r="I70" s="344" t="s">
        <v>128</v>
      </c>
      <c r="J70" s="341" t="s">
        <v>167</v>
      </c>
      <c r="K70" s="371" t="str">
        <f t="shared" si="49"/>
        <v/>
      </c>
      <c r="L70" s="371">
        <f t="shared" si="49"/>
        <v>200454</v>
      </c>
      <c r="M70" s="343"/>
    </row>
    <row r="71" spans="1:17" ht="15">
      <c r="A71" s="347"/>
      <c r="B71" s="341" t="s">
        <v>167</v>
      </c>
      <c r="C71" s="342" t="s">
        <v>128</v>
      </c>
      <c r="D71" s="126"/>
      <c r="E71" s="126">
        <v>200454</v>
      </c>
      <c r="F71" s="343"/>
      <c r="G71" s="347"/>
      <c r="H71" s="834"/>
      <c r="I71" s="344" t="s">
        <v>69</v>
      </c>
      <c r="J71" s="341" t="s">
        <v>129</v>
      </c>
      <c r="K71" s="369" t="str">
        <f t="shared" si="49"/>
        <v/>
      </c>
      <c r="L71" s="369">
        <f t="shared" si="49"/>
        <v>115323</v>
      </c>
      <c r="M71" s="343"/>
    </row>
    <row r="72" spans="1:17" ht="15">
      <c r="A72" s="347"/>
      <c r="B72" s="341" t="s">
        <v>129</v>
      </c>
      <c r="C72" s="342" t="s">
        <v>69</v>
      </c>
      <c r="D72" s="126"/>
      <c r="E72" s="126">
        <v>115323</v>
      </c>
      <c r="F72" s="343"/>
      <c r="G72" s="348"/>
      <c r="H72" s="831"/>
      <c r="I72" s="344" t="s">
        <v>70</v>
      </c>
      <c r="J72" s="341" t="s">
        <v>168</v>
      </c>
      <c r="K72" s="370"/>
      <c r="L72" s="370"/>
      <c r="M72" s="343"/>
    </row>
    <row r="73" spans="1:17" ht="15">
      <c r="A73" s="340" t="s">
        <v>71</v>
      </c>
      <c r="B73" s="341" t="s">
        <v>170</v>
      </c>
      <c r="C73" s="312" t="s">
        <v>72</v>
      </c>
      <c r="D73" s="126"/>
      <c r="E73" s="126">
        <v>24630</v>
      </c>
      <c r="F73" s="343"/>
      <c r="G73" s="340" t="s">
        <v>71</v>
      </c>
      <c r="H73" s="830" t="s">
        <v>169</v>
      </c>
      <c r="I73" s="344" t="s">
        <v>72</v>
      </c>
      <c r="J73" s="341" t="s">
        <v>170</v>
      </c>
      <c r="K73" s="369" t="str">
        <f t="shared" ref="K73:L78" si="50">IF(ISNUMBER(D73),D73,"")</f>
        <v/>
      </c>
      <c r="L73" s="369">
        <f t="shared" si="50"/>
        <v>24630</v>
      </c>
      <c r="M73" s="343"/>
    </row>
    <row r="74" spans="1:17">
      <c r="A74" s="347"/>
      <c r="B74" s="341" t="s">
        <v>632</v>
      </c>
      <c r="C74" s="312" t="s">
        <v>73</v>
      </c>
      <c r="D74" s="126"/>
      <c r="E74" s="126">
        <v>1782</v>
      </c>
      <c r="F74" s="339"/>
      <c r="G74" s="347"/>
      <c r="H74" s="834"/>
      <c r="I74" s="344" t="s">
        <v>73</v>
      </c>
      <c r="J74" s="341" t="s">
        <v>130</v>
      </c>
      <c r="K74" s="369" t="str">
        <f t="shared" si="50"/>
        <v/>
      </c>
      <c r="L74" s="369">
        <f t="shared" si="50"/>
        <v>1782</v>
      </c>
      <c r="M74" s="339"/>
    </row>
    <row r="75" spans="1:17" ht="15">
      <c r="A75" s="348"/>
      <c r="B75" s="341" t="s">
        <v>131</v>
      </c>
      <c r="C75" s="312" t="s">
        <v>74</v>
      </c>
      <c r="D75" s="126"/>
      <c r="E75" s="126">
        <v>76</v>
      </c>
      <c r="F75" s="343"/>
      <c r="G75" s="348"/>
      <c r="H75" s="831"/>
      <c r="I75" s="344" t="s">
        <v>74</v>
      </c>
      <c r="J75" s="341" t="s">
        <v>131</v>
      </c>
      <c r="K75" s="369" t="str">
        <f t="shared" si="50"/>
        <v/>
      </c>
      <c r="L75" s="369">
        <f t="shared" si="50"/>
        <v>76</v>
      </c>
      <c r="M75" s="343"/>
    </row>
    <row r="76" spans="1:17" ht="38.25">
      <c r="A76" s="340" t="s">
        <v>75</v>
      </c>
      <c r="B76" s="350" t="s">
        <v>633</v>
      </c>
      <c r="C76" s="342" t="s">
        <v>77</v>
      </c>
      <c r="D76" s="126"/>
      <c r="E76" s="126">
        <v>1117</v>
      </c>
      <c r="F76" s="343"/>
      <c r="G76" s="340" t="s">
        <v>75</v>
      </c>
      <c r="H76" s="830" t="s">
        <v>76</v>
      </c>
      <c r="I76" s="344" t="s">
        <v>77</v>
      </c>
      <c r="J76" s="350" t="s">
        <v>171</v>
      </c>
      <c r="K76" s="369" t="str">
        <f t="shared" si="50"/>
        <v/>
      </c>
      <c r="L76" s="369">
        <f t="shared" si="50"/>
        <v>1117</v>
      </c>
      <c r="M76" s="343"/>
    </row>
    <row r="77" spans="1:17" ht="15">
      <c r="A77" s="355"/>
      <c r="B77" s="341" t="s">
        <v>132</v>
      </c>
      <c r="C77" s="342" t="s">
        <v>78</v>
      </c>
      <c r="D77" s="126"/>
      <c r="E77" s="126">
        <v>159</v>
      </c>
      <c r="F77" s="343"/>
      <c r="G77" s="347"/>
      <c r="H77" s="834"/>
      <c r="I77" s="344" t="s">
        <v>78</v>
      </c>
      <c r="J77" s="341" t="s">
        <v>132</v>
      </c>
      <c r="K77" s="369" t="str">
        <f t="shared" si="50"/>
        <v/>
      </c>
      <c r="L77" s="369">
        <f>IF(ISNUMBER(E77),E77,"")</f>
        <v>159</v>
      </c>
      <c r="M77" s="343"/>
    </row>
    <row r="78" spans="1:17" ht="15">
      <c r="A78" s="355"/>
      <c r="B78" s="341" t="s">
        <v>133</v>
      </c>
      <c r="C78" s="342" t="s">
        <v>134</v>
      </c>
      <c r="D78" s="126"/>
      <c r="E78" s="126">
        <v>39961</v>
      </c>
      <c r="F78" s="343"/>
      <c r="G78" s="347"/>
      <c r="H78" s="834"/>
      <c r="I78" s="344" t="s">
        <v>134</v>
      </c>
      <c r="J78" s="341" t="s">
        <v>133</v>
      </c>
      <c r="K78" s="371" t="str">
        <f t="shared" si="50"/>
        <v/>
      </c>
      <c r="L78" s="371">
        <f t="shared" si="50"/>
        <v>39961</v>
      </c>
      <c r="M78" s="343"/>
    </row>
    <row r="79" spans="1:17" ht="15">
      <c r="A79" s="363"/>
      <c r="B79" s="341" t="s">
        <v>634</v>
      </c>
      <c r="C79" s="342" t="s">
        <v>172</v>
      </c>
      <c r="D79" s="760"/>
      <c r="E79" s="760">
        <v>0</v>
      </c>
      <c r="F79" s="343"/>
      <c r="G79" s="348"/>
      <c r="H79" s="831"/>
      <c r="I79" s="344" t="s">
        <v>172</v>
      </c>
      <c r="J79" s="341" t="s">
        <v>135</v>
      </c>
      <c r="K79" s="369" t="str">
        <f>IF(ISNUMBER(D37),D37,"")</f>
        <v/>
      </c>
      <c r="L79" s="369">
        <f>IF(ISNUMBER(E37),E37,"")</f>
        <v>2290</v>
      </c>
      <c r="M79" s="343"/>
    </row>
    <row r="80" spans="1:17" ht="15">
      <c r="A80" s="339"/>
      <c r="B80" s="339"/>
      <c r="C80" s="364"/>
      <c r="D80" s="365"/>
      <c r="E80" s="365"/>
      <c r="F80" s="343"/>
      <c r="M80" s="343"/>
    </row>
    <row r="81" spans="1:13" ht="15">
      <c r="A81" s="339"/>
      <c r="B81" s="366"/>
      <c r="C81" s="339"/>
      <c r="D81" s="343"/>
      <c r="E81" s="343"/>
      <c r="F81" s="343"/>
      <c r="M81" s="343"/>
    </row>
    <row r="82" spans="1:13" ht="15">
      <c r="B82" s="366"/>
      <c r="C82" s="366"/>
      <c r="D82" s="343"/>
      <c r="E82" s="343"/>
      <c r="F82" s="343"/>
      <c r="M82" s="343"/>
    </row>
    <row r="83" spans="1:13" ht="15">
      <c r="B83" s="367"/>
      <c r="D83" s="343"/>
      <c r="E83" s="343"/>
      <c r="F83" s="343"/>
      <c r="M83" s="343"/>
    </row>
    <row r="84" spans="1:13" ht="15">
      <c r="B84" s="367"/>
      <c r="C84" s="367"/>
      <c r="D84" s="343"/>
      <c r="E84" s="343"/>
      <c r="F84" s="343"/>
      <c r="M84" s="343"/>
    </row>
    <row r="85" spans="1:13" ht="15">
      <c r="D85" s="343"/>
      <c r="E85" s="343"/>
      <c r="F85" s="343"/>
      <c r="M85" s="343"/>
    </row>
    <row r="86" spans="1:13" ht="15">
      <c r="F86" s="343"/>
      <c r="M86" s="343"/>
    </row>
    <row r="87" spans="1:13" ht="15">
      <c r="F87" s="343"/>
      <c r="M87" s="343"/>
    </row>
  </sheetData>
  <mergeCells count="16">
    <mergeCell ref="P6:Q6"/>
    <mergeCell ref="G6:J6"/>
    <mergeCell ref="K6:L6"/>
    <mergeCell ref="N6:O6"/>
    <mergeCell ref="A6:E6"/>
    <mergeCell ref="H8:H10"/>
    <mergeCell ref="H13:H36"/>
    <mergeCell ref="H38:H39"/>
    <mergeCell ref="H40:H43"/>
    <mergeCell ref="H44:H46"/>
    <mergeCell ref="H73:H75"/>
    <mergeCell ref="H76:H79"/>
    <mergeCell ref="H50:H53"/>
    <mergeCell ref="H47:H49"/>
    <mergeCell ref="H54:H63"/>
    <mergeCell ref="H64:H72"/>
  </mergeCells>
  <conditionalFormatting sqref="D8:E51 D53:E66">
    <cfRule type="expression" dxfId="59" priority="5">
      <formula>ISNUMBER(D8)</formula>
    </cfRule>
  </conditionalFormatting>
  <conditionalFormatting sqref="D67:E72">
    <cfRule type="expression" dxfId="58" priority="2">
      <formula>ISNUMBER(D67)</formula>
    </cfRule>
  </conditionalFormatting>
  <conditionalFormatting sqref="D73:E78">
    <cfRule type="expression" dxfId="57" priority="1">
      <formula>ISNUMBER(D73)</formula>
    </cfRule>
  </conditionalFormatting>
  <pageMargins left="0.25" right="0.25" top="0.75" bottom="0.75" header="0.3" footer="0.3"/>
  <pageSetup paperSize="9" scale="80" fitToWidth="0" orientation="portrait" r:id="rId1"/>
  <legacyDrawing r:id="rId2"/>
</worksheet>
</file>

<file path=xl/worksheets/sheet6.xml><?xml version="1.0" encoding="utf-8"?>
<worksheet xmlns="http://schemas.openxmlformats.org/spreadsheetml/2006/main" xmlns:r="http://schemas.openxmlformats.org/officeDocument/2006/relationships">
  <sheetPr>
    <tabColor rgb="FFFF0000"/>
  </sheetPr>
  <dimension ref="A1:BC587"/>
  <sheetViews>
    <sheetView zoomScale="70" zoomScaleNormal="70" workbookViewId="0">
      <pane ySplit="7" topLeftCell="A8" activePane="bottomLeft" state="frozen"/>
      <selection pane="bottomLeft" activeCell="A8" sqref="A8"/>
    </sheetView>
  </sheetViews>
  <sheetFormatPr defaultRowHeight="15"/>
  <cols>
    <col min="1" max="1" width="5.7109375" style="4" customWidth="1"/>
    <col min="2" max="2" width="97.5703125" style="4" customWidth="1"/>
    <col min="3" max="3" width="11.28515625" style="4" customWidth="1"/>
    <col min="4" max="4" width="14.28515625" style="6" customWidth="1"/>
    <col min="5" max="5" width="13" style="6" customWidth="1"/>
    <col min="6" max="6" width="9.7109375" style="165" customWidth="1"/>
    <col min="7" max="7" width="9.140625" style="5"/>
    <col min="8" max="8" width="20.42578125" style="4" customWidth="1"/>
    <col min="9" max="9" width="9.140625" style="4"/>
    <col min="10" max="10" width="91.5703125" style="4" customWidth="1"/>
    <col min="11" max="11" width="14.28515625" style="4" customWidth="1"/>
    <col min="12" max="12" width="13.28515625" style="4" customWidth="1"/>
    <col min="13" max="13" width="9.140625" style="187"/>
    <col min="14" max="14" width="9.7109375" style="4" bestFit="1" customWidth="1"/>
    <col min="15" max="15" width="69.5703125" style="4" customWidth="1"/>
    <col min="16" max="16" width="14.140625" style="4" customWidth="1"/>
    <col min="17" max="17" width="13.85546875" style="4" customWidth="1"/>
    <col min="18" max="55" width="9.140625" style="184"/>
    <col min="56" max="16384" width="9.140625" style="4"/>
  </cols>
  <sheetData>
    <row r="1" spans="1:55" s="8" customFormat="1" ht="21">
      <c r="A1" s="7" t="s">
        <v>717</v>
      </c>
      <c r="E1" s="9"/>
      <c r="F1" s="180"/>
      <c r="G1" s="9"/>
      <c r="H1" s="9"/>
      <c r="I1" s="9"/>
      <c r="J1" s="10"/>
      <c r="K1" s="11"/>
      <c r="L1" s="11"/>
      <c r="M1" s="190"/>
      <c r="N1" s="10"/>
      <c r="O1" s="11"/>
      <c r="Q1" s="191"/>
      <c r="R1" s="191"/>
      <c r="S1" s="191"/>
      <c r="T1" s="191"/>
      <c r="U1" s="191"/>
      <c r="V1" s="180"/>
      <c r="W1" s="192"/>
      <c r="X1" s="192"/>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row>
    <row r="2" spans="1:55" s="170" customFormat="1" ht="15.75">
      <c r="A2" s="169" t="s">
        <v>410</v>
      </c>
      <c r="C2" s="219" t="s">
        <v>400</v>
      </c>
      <c r="D2" s="179"/>
      <c r="E2" s="177" t="s">
        <v>444</v>
      </c>
      <c r="F2" s="173"/>
      <c r="I2" s="657"/>
      <c r="J2" s="759" t="s">
        <v>868</v>
      </c>
      <c r="K2" s="172"/>
      <c r="M2" s="174"/>
      <c r="N2" s="176"/>
      <c r="O2" s="171"/>
      <c r="P2" s="175"/>
      <c r="Q2" s="175"/>
      <c r="R2" s="175"/>
      <c r="V2" s="174"/>
    </row>
    <row r="3" spans="1:55" s="171" customFormat="1" ht="12.75">
      <c r="A3" s="757" t="s">
        <v>866</v>
      </c>
      <c r="B3" s="197"/>
      <c r="D3" s="198"/>
      <c r="E3" s="177" t="s">
        <v>445</v>
      </c>
      <c r="F3" s="173"/>
      <c r="I3" s="174"/>
      <c r="J3" s="176"/>
      <c r="M3" s="174"/>
      <c r="N3" s="176"/>
      <c r="V3" s="174"/>
    </row>
    <row r="4" spans="1:55" s="171" customFormat="1" ht="12.75">
      <c r="B4" s="197"/>
      <c r="D4" s="196"/>
      <c r="E4" s="177" t="s">
        <v>679</v>
      </c>
      <c r="F4" s="173"/>
      <c r="I4" s="174"/>
      <c r="J4" s="176"/>
      <c r="M4" s="174"/>
      <c r="N4" s="176"/>
      <c r="V4" s="174"/>
    </row>
    <row r="5" spans="1:55" s="171" customFormat="1" ht="12.75">
      <c r="D5" s="217"/>
      <c r="E5" s="171" t="s">
        <v>611</v>
      </c>
      <c r="F5" s="173"/>
      <c r="I5" s="174"/>
      <c r="J5" s="176"/>
      <c r="M5" s="174"/>
      <c r="N5" s="176"/>
      <c r="P5" s="178"/>
      <c r="Q5" s="178"/>
      <c r="R5" s="178"/>
      <c r="V5" s="174"/>
    </row>
    <row r="6" spans="1:55" ht="21.75" customHeight="1">
      <c r="A6" s="17" t="s">
        <v>411</v>
      </c>
      <c r="B6" s="12"/>
      <c r="C6" s="12"/>
      <c r="D6" s="845"/>
      <c r="E6" s="846"/>
      <c r="G6" s="847" t="s">
        <v>402</v>
      </c>
      <c r="H6" s="819"/>
      <c r="I6" s="819"/>
      <c r="J6" s="811"/>
      <c r="K6" s="820" t="s">
        <v>401</v>
      </c>
      <c r="L6" s="821"/>
      <c r="N6" s="841" t="s">
        <v>403</v>
      </c>
      <c r="O6" s="811"/>
      <c r="P6" s="812" t="s">
        <v>401</v>
      </c>
      <c r="Q6" s="813"/>
    </row>
    <row r="7" spans="1:55" ht="25.5">
      <c r="A7" s="13" t="s">
        <v>0</v>
      </c>
      <c r="B7" s="14" t="s">
        <v>1</v>
      </c>
      <c r="C7" s="15" t="s">
        <v>2</v>
      </c>
      <c r="D7" s="16" t="s">
        <v>828</v>
      </c>
      <c r="E7" s="16">
        <v>2013</v>
      </c>
      <c r="G7" s="748" t="s">
        <v>859</v>
      </c>
      <c r="H7" s="3" t="s">
        <v>409</v>
      </c>
      <c r="I7" s="750" t="s">
        <v>860</v>
      </c>
      <c r="J7" s="3" t="s">
        <v>404</v>
      </c>
      <c r="K7" s="42" t="s">
        <v>828</v>
      </c>
      <c r="L7" s="42">
        <v>2013</v>
      </c>
      <c r="N7" s="1" t="s">
        <v>0</v>
      </c>
      <c r="O7" s="2" t="s">
        <v>406</v>
      </c>
      <c r="P7" s="46" t="s">
        <v>680</v>
      </c>
      <c r="Q7" s="46" t="s">
        <v>681</v>
      </c>
    </row>
    <row r="8" spans="1:55" s="134" customFormat="1" ht="12.75">
      <c r="A8" s="128" t="s">
        <v>3</v>
      </c>
      <c r="B8" s="129" t="s">
        <v>244</v>
      </c>
      <c r="C8" s="130" t="s">
        <v>316</v>
      </c>
      <c r="D8" s="149"/>
      <c r="E8" s="149">
        <v>87.42</v>
      </c>
      <c r="F8" s="77"/>
      <c r="G8" s="128" t="s">
        <v>3</v>
      </c>
      <c r="H8" s="838" t="s">
        <v>137</v>
      </c>
      <c r="I8" s="131" t="s">
        <v>4</v>
      </c>
      <c r="J8" s="132" t="s">
        <v>79</v>
      </c>
      <c r="K8" s="133" t="str">
        <f t="shared" ref="K8:K37" si="0">IF(ISNUMBER(D8),D8,"")</f>
        <v/>
      </c>
      <c r="L8" s="133">
        <f t="shared" ref="L8:L37" si="1">IF(ISNUMBER(E8),E8,"")</f>
        <v>87.42</v>
      </c>
      <c r="M8" s="36"/>
      <c r="N8" s="119" t="s">
        <v>324</v>
      </c>
      <c r="O8" s="18" t="s">
        <v>325</v>
      </c>
      <c r="P8" s="133" t="str">
        <f>K73</f>
        <v/>
      </c>
      <c r="Q8" s="133">
        <f>L73</f>
        <v>5775.0499999999993</v>
      </c>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row>
    <row r="9" spans="1:55" s="134" customFormat="1" ht="12.75">
      <c r="A9" s="135"/>
      <c r="B9" s="129" t="s">
        <v>233</v>
      </c>
      <c r="C9" s="130" t="s">
        <v>306</v>
      </c>
      <c r="D9" s="149"/>
      <c r="E9" s="149">
        <v>0.15185306700000001</v>
      </c>
      <c r="F9" s="77"/>
      <c r="G9" s="135"/>
      <c r="H9" s="839"/>
      <c r="I9" s="131" t="s">
        <v>138</v>
      </c>
      <c r="J9" s="132" t="s">
        <v>139</v>
      </c>
      <c r="K9" s="133" t="str">
        <f t="shared" si="0"/>
        <v/>
      </c>
      <c r="L9" s="133">
        <f t="shared" si="1"/>
        <v>0.15185306700000001</v>
      </c>
      <c r="M9" s="36"/>
      <c r="N9" s="119" t="s">
        <v>326</v>
      </c>
      <c r="O9" s="18" t="s">
        <v>327</v>
      </c>
      <c r="P9" s="133" t="str">
        <f>K75</f>
        <v/>
      </c>
      <c r="Q9" s="133">
        <f>L75</f>
        <v>5.37</v>
      </c>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row>
    <row r="10" spans="1:55" s="134" customFormat="1" ht="12.75">
      <c r="A10" s="136"/>
      <c r="B10" s="129" t="s">
        <v>194</v>
      </c>
      <c r="C10" s="130" t="s">
        <v>267</v>
      </c>
      <c r="D10" s="149"/>
      <c r="E10" s="149">
        <v>13.36</v>
      </c>
      <c r="F10" s="77"/>
      <c r="G10" s="136"/>
      <c r="H10" s="840"/>
      <c r="I10" s="131" t="s">
        <v>81</v>
      </c>
      <c r="J10" s="132" t="s">
        <v>80</v>
      </c>
      <c r="K10" s="133" t="str">
        <f t="shared" si="0"/>
        <v/>
      </c>
      <c r="L10" s="133">
        <f t="shared" si="1"/>
        <v>13.36</v>
      </c>
      <c r="M10" s="36"/>
      <c r="N10" s="119" t="s">
        <v>328</v>
      </c>
      <c r="O10" s="18" t="s">
        <v>130</v>
      </c>
      <c r="P10" s="133" t="str">
        <f>K74</f>
        <v/>
      </c>
      <c r="Q10" s="133">
        <f>L74</f>
        <v>372.27</v>
      </c>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row>
    <row r="11" spans="1:55" s="134" customFormat="1" ht="12.75">
      <c r="A11" s="121" t="s">
        <v>5</v>
      </c>
      <c r="B11" s="129" t="s">
        <v>177</v>
      </c>
      <c r="C11" s="130" t="s">
        <v>250</v>
      </c>
      <c r="D11" s="149"/>
      <c r="E11" s="149">
        <v>718.36</v>
      </c>
      <c r="F11" s="77"/>
      <c r="G11" s="121" t="s">
        <v>5</v>
      </c>
      <c r="H11" s="129" t="s">
        <v>6</v>
      </c>
      <c r="I11" s="131" t="s">
        <v>7</v>
      </c>
      <c r="J11" s="132" t="s">
        <v>82</v>
      </c>
      <c r="K11" s="133" t="str">
        <f t="shared" si="0"/>
        <v/>
      </c>
      <c r="L11" s="133">
        <f t="shared" si="1"/>
        <v>718.36</v>
      </c>
      <c r="M11" s="36"/>
      <c r="N11" s="119" t="s">
        <v>329</v>
      </c>
      <c r="O11" s="18" t="s">
        <v>330</v>
      </c>
      <c r="P11" s="133" t="str">
        <f>K44</f>
        <v/>
      </c>
      <c r="Q11" s="133">
        <f>L44</f>
        <v>21.740000000000002</v>
      </c>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row>
    <row r="12" spans="1:55" s="134" customFormat="1" ht="12.75">
      <c r="A12" s="136" t="s">
        <v>8</v>
      </c>
      <c r="B12" s="129" t="s">
        <v>183</v>
      </c>
      <c r="C12" s="130" t="s">
        <v>256</v>
      </c>
      <c r="D12" s="149"/>
      <c r="E12" s="149">
        <v>27674.179999999997</v>
      </c>
      <c r="F12" s="77"/>
      <c r="G12" s="121" t="s">
        <v>8</v>
      </c>
      <c r="H12" s="129" t="s">
        <v>140</v>
      </c>
      <c r="I12" s="131" t="s">
        <v>9</v>
      </c>
      <c r="J12" s="132" t="s">
        <v>83</v>
      </c>
      <c r="K12" s="133" t="str">
        <f t="shared" si="0"/>
        <v/>
      </c>
      <c r="L12" s="133">
        <f t="shared" si="1"/>
        <v>27674.179999999997</v>
      </c>
      <c r="M12" s="36"/>
      <c r="N12" s="119" t="s">
        <v>331</v>
      </c>
      <c r="O12" s="18" t="s">
        <v>332</v>
      </c>
      <c r="P12" s="133" t="str">
        <f>K46</f>
        <v/>
      </c>
      <c r="Q12" s="133">
        <f>L46</f>
        <v>303.71999999999997</v>
      </c>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row>
    <row r="13" spans="1:55" s="134" customFormat="1" ht="12.75">
      <c r="A13" s="128" t="s">
        <v>10</v>
      </c>
      <c r="B13" s="129" t="s">
        <v>209</v>
      </c>
      <c r="C13" s="130" t="s">
        <v>282</v>
      </c>
      <c r="D13" s="149"/>
      <c r="E13" s="149">
        <v>48.239999999999995</v>
      </c>
      <c r="F13" s="77"/>
      <c r="G13" s="128" t="s">
        <v>10</v>
      </c>
      <c r="H13" s="838" t="s">
        <v>11</v>
      </c>
      <c r="I13" s="131" t="s">
        <v>12</v>
      </c>
      <c r="J13" s="132" t="s">
        <v>84</v>
      </c>
      <c r="K13" s="133" t="str">
        <f t="shared" si="0"/>
        <v/>
      </c>
      <c r="L13" s="133">
        <f t="shared" si="1"/>
        <v>48.239999999999995</v>
      </c>
      <c r="M13" s="36"/>
      <c r="N13" s="119" t="s">
        <v>333</v>
      </c>
      <c r="O13" s="18" t="s">
        <v>334</v>
      </c>
      <c r="P13" s="133" t="str">
        <f>K43</f>
        <v/>
      </c>
      <c r="Q13" s="133">
        <f>L43</f>
        <v>26.4</v>
      </c>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row>
    <row r="14" spans="1:55" s="134" customFormat="1" ht="12.75">
      <c r="A14" s="135"/>
      <c r="B14" s="129" t="s">
        <v>204</v>
      </c>
      <c r="C14" s="130" t="s">
        <v>277</v>
      </c>
      <c r="D14" s="149"/>
      <c r="E14" s="149">
        <v>7.28</v>
      </c>
      <c r="F14" s="77"/>
      <c r="G14" s="135"/>
      <c r="H14" s="839"/>
      <c r="I14" s="131" t="s">
        <v>13</v>
      </c>
      <c r="J14" s="132" t="s">
        <v>85</v>
      </c>
      <c r="K14" s="133" t="str">
        <f t="shared" si="0"/>
        <v/>
      </c>
      <c r="L14" s="133">
        <f t="shared" si="1"/>
        <v>7.28</v>
      </c>
      <c r="M14" s="36"/>
      <c r="N14" s="119" t="s">
        <v>335</v>
      </c>
      <c r="O14" s="18" t="s">
        <v>336</v>
      </c>
      <c r="P14" s="133" t="str">
        <f>K9</f>
        <v/>
      </c>
      <c r="Q14" s="133">
        <f>L9</f>
        <v>0.15185306700000001</v>
      </c>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row>
    <row r="15" spans="1:55" s="134" customFormat="1" ht="12.75">
      <c r="A15" s="135"/>
      <c r="B15" s="129" t="s">
        <v>208</v>
      </c>
      <c r="C15" s="130" t="s">
        <v>281</v>
      </c>
      <c r="D15" s="149"/>
      <c r="E15" s="149">
        <v>28.29</v>
      </c>
      <c r="F15" s="77"/>
      <c r="G15" s="135"/>
      <c r="H15" s="839"/>
      <c r="I15" s="131" t="s">
        <v>14</v>
      </c>
      <c r="J15" s="132" t="s">
        <v>86</v>
      </c>
      <c r="K15" s="133" t="str">
        <f t="shared" si="0"/>
        <v/>
      </c>
      <c r="L15" s="133">
        <f t="shared" si="1"/>
        <v>28.29</v>
      </c>
      <c r="M15" s="36"/>
      <c r="N15" s="119" t="s">
        <v>337</v>
      </c>
      <c r="O15" s="18" t="s">
        <v>322</v>
      </c>
      <c r="P15" s="133" t="str">
        <f t="shared" ref="P15:Q16" si="2">K47</f>
        <v/>
      </c>
      <c r="Q15" s="133">
        <f t="shared" si="2"/>
        <v>1266.71</v>
      </c>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row>
    <row r="16" spans="1:55" s="134" customFormat="1" ht="12.75">
      <c r="A16" s="135"/>
      <c r="B16" s="129" t="s">
        <v>180</v>
      </c>
      <c r="C16" s="130" t="s">
        <v>253</v>
      </c>
      <c r="D16" s="149"/>
      <c r="E16" s="149">
        <v>0.72</v>
      </c>
      <c r="F16" s="77"/>
      <c r="G16" s="135"/>
      <c r="H16" s="839"/>
      <c r="I16" s="131" t="s">
        <v>15</v>
      </c>
      <c r="J16" s="132" t="s">
        <v>87</v>
      </c>
      <c r="K16" s="133" t="str">
        <f t="shared" si="0"/>
        <v/>
      </c>
      <c r="L16" s="133">
        <f t="shared" si="1"/>
        <v>0.72</v>
      </c>
      <c r="M16" s="36"/>
      <c r="N16" s="119" t="s">
        <v>338</v>
      </c>
      <c r="O16" s="18" t="s">
        <v>339</v>
      </c>
      <c r="P16" s="133" t="str">
        <f t="shared" si="2"/>
        <v/>
      </c>
      <c r="Q16" s="133">
        <f t="shared" si="2"/>
        <v>3902.77</v>
      </c>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row>
    <row r="17" spans="1:55" s="134" customFormat="1" ht="12.75">
      <c r="A17" s="135"/>
      <c r="B17" s="129" t="s">
        <v>189</v>
      </c>
      <c r="C17" s="130" t="s">
        <v>262</v>
      </c>
      <c r="D17" s="149"/>
      <c r="E17" s="149">
        <v>8.9</v>
      </c>
      <c r="F17" s="77"/>
      <c r="G17" s="135"/>
      <c r="H17" s="839"/>
      <c r="I17" s="131" t="s">
        <v>16</v>
      </c>
      <c r="J17" s="132" t="s">
        <v>88</v>
      </c>
      <c r="K17" s="133" t="str">
        <f t="shared" si="0"/>
        <v/>
      </c>
      <c r="L17" s="133">
        <f t="shared" si="1"/>
        <v>8.9</v>
      </c>
      <c r="M17" s="36"/>
      <c r="N17" s="119" t="s">
        <v>340</v>
      </c>
      <c r="O17" s="18" t="s">
        <v>341</v>
      </c>
      <c r="P17" s="133" t="str">
        <f>K54</f>
        <v/>
      </c>
      <c r="Q17" s="133">
        <f>L54</f>
        <v>26.92</v>
      </c>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row>
    <row r="18" spans="1:55" s="134" customFormat="1" ht="12.75">
      <c r="A18" s="135"/>
      <c r="B18" s="129" t="s">
        <v>186</v>
      </c>
      <c r="C18" s="130" t="s">
        <v>259</v>
      </c>
      <c r="D18" s="149"/>
      <c r="E18" s="149">
        <v>3.73</v>
      </c>
      <c r="F18" s="77"/>
      <c r="G18" s="135"/>
      <c r="H18" s="839"/>
      <c r="I18" s="131" t="s">
        <v>17</v>
      </c>
      <c r="J18" s="132" t="s">
        <v>89</v>
      </c>
      <c r="K18" s="133" t="str">
        <f t="shared" si="0"/>
        <v/>
      </c>
      <c r="L18" s="133">
        <f t="shared" si="1"/>
        <v>3.73</v>
      </c>
      <c r="M18" s="36"/>
      <c r="N18" s="119" t="s">
        <v>342</v>
      </c>
      <c r="O18" s="18" t="s">
        <v>343</v>
      </c>
      <c r="P18" s="133" t="str">
        <f>K49</f>
        <v/>
      </c>
      <c r="Q18" s="133">
        <f>L49</f>
        <v>18628.3</v>
      </c>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row>
    <row r="19" spans="1:55" s="134" customFormat="1" ht="12.75">
      <c r="A19" s="135"/>
      <c r="B19" s="129" t="s">
        <v>184</v>
      </c>
      <c r="C19" s="130" t="s">
        <v>257</v>
      </c>
      <c r="D19" s="149"/>
      <c r="E19" s="149">
        <v>0.09</v>
      </c>
      <c r="F19" s="77"/>
      <c r="G19" s="135"/>
      <c r="H19" s="839"/>
      <c r="I19" s="131" t="s">
        <v>18</v>
      </c>
      <c r="J19" s="132" t="s">
        <v>90</v>
      </c>
      <c r="K19" s="133" t="str">
        <f t="shared" si="0"/>
        <v/>
      </c>
      <c r="L19" s="133">
        <f t="shared" si="1"/>
        <v>0.09</v>
      </c>
      <c r="M19" s="36"/>
      <c r="N19" s="119" t="s">
        <v>344</v>
      </c>
      <c r="O19" s="18" t="s">
        <v>345</v>
      </c>
      <c r="P19" s="133" t="str">
        <f t="shared" ref="P19:Q20" si="3">K38</f>
        <v/>
      </c>
      <c r="Q19" s="133">
        <f t="shared" si="3"/>
        <v>2236.41</v>
      </c>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row>
    <row r="20" spans="1:55" s="134" customFormat="1" ht="12.75">
      <c r="A20" s="135"/>
      <c r="B20" s="129" t="s">
        <v>179</v>
      </c>
      <c r="C20" s="130" t="s">
        <v>252</v>
      </c>
      <c r="D20" s="149"/>
      <c r="E20" s="149">
        <v>0</v>
      </c>
      <c r="F20" s="77"/>
      <c r="G20" s="135"/>
      <c r="H20" s="839"/>
      <c r="I20" s="131" t="s">
        <v>19</v>
      </c>
      <c r="J20" s="132" t="s">
        <v>141</v>
      </c>
      <c r="K20" s="133" t="str">
        <f t="shared" si="0"/>
        <v/>
      </c>
      <c r="L20" s="133">
        <f t="shared" si="1"/>
        <v>0</v>
      </c>
      <c r="M20" s="36"/>
      <c r="N20" s="119" t="s">
        <v>346</v>
      </c>
      <c r="O20" s="18" t="s">
        <v>347</v>
      </c>
      <c r="P20" s="133" t="str">
        <f t="shared" si="3"/>
        <v/>
      </c>
      <c r="Q20" s="133">
        <f t="shared" si="3"/>
        <v>442.1</v>
      </c>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row>
    <row r="21" spans="1:55" s="134" customFormat="1" ht="12.75">
      <c r="A21" s="135"/>
      <c r="B21" s="129" t="s">
        <v>227</v>
      </c>
      <c r="C21" s="130" t="s">
        <v>300</v>
      </c>
      <c r="D21" s="149"/>
      <c r="E21" s="149">
        <v>0</v>
      </c>
      <c r="F21" s="77"/>
      <c r="G21" s="135"/>
      <c r="H21" s="839"/>
      <c r="I21" s="131" t="s">
        <v>142</v>
      </c>
      <c r="J21" s="132" t="s">
        <v>143</v>
      </c>
      <c r="K21" s="133" t="str">
        <f t="shared" si="0"/>
        <v/>
      </c>
      <c r="L21" s="133">
        <f t="shared" si="1"/>
        <v>0</v>
      </c>
      <c r="M21" s="36"/>
      <c r="N21" s="119" t="s">
        <v>348</v>
      </c>
      <c r="O21" s="18" t="s">
        <v>349</v>
      </c>
      <c r="P21" s="133" t="str">
        <f>K76</f>
        <v/>
      </c>
      <c r="Q21" s="133">
        <f>L76</f>
        <v>345.70000000000005</v>
      </c>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row>
    <row r="22" spans="1:55" s="134" customFormat="1" ht="12.75">
      <c r="A22" s="135"/>
      <c r="B22" s="129" t="s">
        <v>193</v>
      </c>
      <c r="C22" s="130" t="s">
        <v>266</v>
      </c>
      <c r="D22" s="149"/>
      <c r="E22" s="149">
        <v>53.08</v>
      </c>
      <c r="F22" s="77"/>
      <c r="G22" s="135"/>
      <c r="H22" s="839"/>
      <c r="I22" s="131" t="s">
        <v>20</v>
      </c>
      <c r="J22" s="132" t="s">
        <v>91</v>
      </c>
      <c r="K22" s="133" t="str">
        <f t="shared" si="0"/>
        <v/>
      </c>
      <c r="L22" s="133">
        <f t="shared" si="1"/>
        <v>53.08</v>
      </c>
      <c r="M22" s="36"/>
      <c r="N22" s="119" t="s">
        <v>350</v>
      </c>
      <c r="O22" s="18" t="s">
        <v>351</v>
      </c>
      <c r="P22" s="133">
        <f t="shared" ref="P22:Q22" si="4">SUM(K79,K34:K35,K37)</f>
        <v>0</v>
      </c>
      <c r="Q22" s="133">
        <f t="shared" si="4"/>
        <v>2.97</v>
      </c>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row>
    <row r="23" spans="1:55" s="134" customFormat="1" ht="12.75">
      <c r="A23" s="135"/>
      <c r="B23" s="129" t="s">
        <v>191</v>
      </c>
      <c r="C23" s="130" t="s">
        <v>264</v>
      </c>
      <c r="D23" s="149"/>
      <c r="E23" s="149">
        <v>0</v>
      </c>
      <c r="F23" s="77"/>
      <c r="G23" s="135"/>
      <c r="H23" s="839"/>
      <c r="I23" s="131" t="s">
        <v>21</v>
      </c>
      <c r="J23" s="132" t="s">
        <v>144</v>
      </c>
      <c r="K23" s="133" t="str">
        <f t="shared" si="0"/>
        <v/>
      </c>
      <c r="L23" s="133">
        <f t="shared" si="1"/>
        <v>0</v>
      </c>
      <c r="M23" s="36"/>
      <c r="N23" s="119" t="s">
        <v>352</v>
      </c>
      <c r="O23" s="18" t="s">
        <v>353</v>
      </c>
      <c r="P23" s="133" t="str">
        <f>K77</f>
        <v/>
      </c>
      <c r="Q23" s="133">
        <f>L77</f>
        <v>10.45</v>
      </c>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row>
    <row r="24" spans="1:55" s="134" customFormat="1" ht="12.75">
      <c r="A24" s="135"/>
      <c r="B24" s="129" t="s">
        <v>210</v>
      </c>
      <c r="C24" s="130" t="s">
        <v>283</v>
      </c>
      <c r="D24" s="149"/>
      <c r="E24" s="149">
        <v>812.53</v>
      </c>
      <c r="F24" s="77"/>
      <c r="G24" s="135"/>
      <c r="H24" s="839"/>
      <c r="I24" s="131" t="s">
        <v>22</v>
      </c>
      <c r="J24" s="132" t="s">
        <v>92</v>
      </c>
      <c r="K24" s="133" t="str">
        <f t="shared" si="0"/>
        <v/>
      </c>
      <c r="L24" s="133">
        <f t="shared" si="1"/>
        <v>812.53</v>
      </c>
      <c r="M24" s="36"/>
      <c r="N24" s="119" t="s">
        <v>354</v>
      </c>
      <c r="O24" s="18" t="s">
        <v>355</v>
      </c>
      <c r="P24" s="133" t="str">
        <f>K8</f>
        <v/>
      </c>
      <c r="Q24" s="133">
        <f>L8</f>
        <v>87.42</v>
      </c>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row>
    <row r="25" spans="1:55" s="134" customFormat="1" ht="12.75">
      <c r="A25" s="135"/>
      <c r="B25" s="129" t="s">
        <v>207</v>
      </c>
      <c r="C25" s="130" t="s">
        <v>280</v>
      </c>
      <c r="D25" s="149"/>
      <c r="E25" s="149">
        <v>66447.789999999994</v>
      </c>
      <c r="F25" s="77"/>
      <c r="G25" s="135"/>
      <c r="H25" s="839"/>
      <c r="I25" s="131" t="s">
        <v>23</v>
      </c>
      <c r="J25" s="132" t="s">
        <v>93</v>
      </c>
      <c r="K25" s="133" t="str">
        <f t="shared" si="0"/>
        <v/>
      </c>
      <c r="L25" s="133">
        <f t="shared" si="1"/>
        <v>66447.789999999994</v>
      </c>
      <c r="M25" s="36"/>
      <c r="N25" s="119" t="s">
        <v>356</v>
      </c>
      <c r="O25" s="18" t="s">
        <v>357</v>
      </c>
      <c r="P25" s="133">
        <f t="shared" ref="P25:Q25" si="5">SUM(K70,K67:K68,K72)</f>
        <v>0</v>
      </c>
      <c r="Q25" s="133">
        <f t="shared" si="5"/>
        <v>53388.36</v>
      </c>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row>
    <row r="26" spans="1:55" s="134" customFormat="1" ht="15.75" customHeight="1">
      <c r="A26" s="135"/>
      <c r="B26" s="129" t="s">
        <v>249</v>
      </c>
      <c r="C26" s="130" t="s">
        <v>321</v>
      </c>
      <c r="D26" s="149"/>
      <c r="E26" s="149">
        <v>91339.05</v>
      </c>
      <c r="F26" s="77"/>
      <c r="G26" s="135"/>
      <c r="H26" s="839"/>
      <c r="I26" s="131" t="s">
        <v>24</v>
      </c>
      <c r="J26" s="132" t="s">
        <v>94</v>
      </c>
      <c r="K26" s="133" t="str">
        <f t="shared" si="0"/>
        <v/>
      </c>
      <c r="L26" s="133">
        <f t="shared" si="1"/>
        <v>91339.05</v>
      </c>
      <c r="M26" s="36"/>
      <c r="N26" s="120"/>
      <c r="O26" s="63" t="s">
        <v>407</v>
      </c>
      <c r="P26" s="137"/>
      <c r="Q26" s="138"/>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row>
    <row r="27" spans="1:55" s="134" customFormat="1" ht="12.75">
      <c r="A27" s="135"/>
      <c r="B27" s="129" t="s">
        <v>221</v>
      </c>
      <c r="C27" s="130" t="s">
        <v>294</v>
      </c>
      <c r="D27" s="149"/>
      <c r="E27" s="149">
        <v>6.52</v>
      </c>
      <c r="F27" s="77"/>
      <c r="G27" s="135"/>
      <c r="H27" s="839"/>
      <c r="I27" s="131" t="s">
        <v>25</v>
      </c>
      <c r="J27" s="132" t="s">
        <v>145</v>
      </c>
      <c r="K27" s="133" t="str">
        <f t="shared" si="0"/>
        <v/>
      </c>
      <c r="L27" s="133">
        <f t="shared" si="1"/>
        <v>6.52</v>
      </c>
      <c r="M27" s="36"/>
      <c r="N27" s="119" t="s">
        <v>358</v>
      </c>
      <c r="O27" s="19" t="s">
        <v>84</v>
      </c>
      <c r="P27" s="133" t="str">
        <f>K13</f>
        <v/>
      </c>
      <c r="Q27" s="133">
        <f>L13</f>
        <v>48.239999999999995</v>
      </c>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row>
    <row r="28" spans="1:55" s="134" customFormat="1" ht="12.75">
      <c r="A28" s="135"/>
      <c r="B28" s="129" t="s">
        <v>226</v>
      </c>
      <c r="C28" s="130" t="s">
        <v>299</v>
      </c>
      <c r="D28" s="149"/>
      <c r="E28" s="149">
        <v>0</v>
      </c>
      <c r="F28" s="77"/>
      <c r="G28" s="135"/>
      <c r="H28" s="839"/>
      <c r="I28" s="131" t="s">
        <v>146</v>
      </c>
      <c r="J28" s="132" t="s">
        <v>147</v>
      </c>
      <c r="K28" s="133" t="str">
        <f t="shared" si="0"/>
        <v/>
      </c>
      <c r="L28" s="133">
        <f t="shared" si="1"/>
        <v>0</v>
      </c>
      <c r="M28" s="36"/>
      <c r="N28" s="119" t="s">
        <v>359</v>
      </c>
      <c r="O28" s="19" t="s">
        <v>90</v>
      </c>
      <c r="P28" s="133" t="str">
        <f>K19</f>
        <v/>
      </c>
      <c r="Q28" s="133">
        <f>L19</f>
        <v>0.09</v>
      </c>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row>
    <row r="29" spans="1:55" s="134" customFormat="1" ht="12.75">
      <c r="A29" s="135"/>
      <c r="B29" s="129" t="s">
        <v>230</v>
      </c>
      <c r="C29" s="130" t="s">
        <v>303</v>
      </c>
      <c r="D29" s="149"/>
      <c r="E29" s="149">
        <v>0</v>
      </c>
      <c r="F29" s="77"/>
      <c r="G29" s="135"/>
      <c r="H29" s="839"/>
      <c r="I29" s="131" t="s">
        <v>148</v>
      </c>
      <c r="J29" s="132" t="s">
        <v>149</v>
      </c>
      <c r="K29" s="133" t="str">
        <f t="shared" si="0"/>
        <v/>
      </c>
      <c r="L29" s="133">
        <f t="shared" si="1"/>
        <v>0</v>
      </c>
      <c r="M29" s="36"/>
      <c r="N29" s="119" t="s">
        <v>360</v>
      </c>
      <c r="O29" s="19" t="s">
        <v>361</v>
      </c>
      <c r="P29" s="133" t="str">
        <f>K17</f>
        <v/>
      </c>
      <c r="Q29" s="133">
        <f>L17</f>
        <v>8.9</v>
      </c>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row>
    <row r="30" spans="1:55" s="134" customFormat="1" ht="12.75">
      <c r="A30" s="135"/>
      <c r="B30" s="129" t="s">
        <v>182</v>
      </c>
      <c r="C30" s="130" t="s">
        <v>255</v>
      </c>
      <c r="D30" s="149"/>
      <c r="E30" s="149">
        <v>0</v>
      </c>
      <c r="F30" s="77"/>
      <c r="G30" s="135"/>
      <c r="H30" s="839"/>
      <c r="I30" s="131" t="s">
        <v>26</v>
      </c>
      <c r="J30" s="132" t="s">
        <v>150</v>
      </c>
      <c r="K30" s="133" t="str">
        <f t="shared" si="0"/>
        <v/>
      </c>
      <c r="L30" s="133">
        <f t="shared" si="1"/>
        <v>0</v>
      </c>
      <c r="M30" s="36"/>
      <c r="N30" s="119" t="s">
        <v>362</v>
      </c>
      <c r="O30" s="19" t="s">
        <v>91</v>
      </c>
      <c r="P30" s="133" t="str">
        <f>K22</f>
        <v/>
      </c>
      <c r="Q30" s="133">
        <f>L22</f>
        <v>53.08</v>
      </c>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row>
    <row r="31" spans="1:55" s="134" customFormat="1" ht="12.75">
      <c r="A31" s="135"/>
      <c r="B31" s="129" t="s">
        <v>211</v>
      </c>
      <c r="C31" s="130" t="s">
        <v>284</v>
      </c>
      <c r="D31" s="149"/>
      <c r="E31" s="149">
        <v>490.38</v>
      </c>
      <c r="F31" s="77"/>
      <c r="G31" s="135"/>
      <c r="H31" s="839"/>
      <c r="I31" s="131" t="s">
        <v>27</v>
      </c>
      <c r="J31" s="132" t="s">
        <v>95</v>
      </c>
      <c r="K31" s="133" t="str">
        <f t="shared" si="0"/>
        <v/>
      </c>
      <c r="L31" s="133">
        <f t="shared" si="1"/>
        <v>490.38</v>
      </c>
      <c r="M31" s="36"/>
      <c r="N31" s="119" t="s">
        <v>363</v>
      </c>
      <c r="O31" s="19" t="s">
        <v>94</v>
      </c>
      <c r="P31" s="133" t="str">
        <f>K26</f>
        <v/>
      </c>
      <c r="Q31" s="133">
        <f>L26</f>
        <v>91339.05</v>
      </c>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row>
    <row r="32" spans="1:55" s="134" customFormat="1" ht="12.75">
      <c r="A32" s="135"/>
      <c r="B32" s="129" t="s">
        <v>185</v>
      </c>
      <c r="C32" s="130" t="s">
        <v>258</v>
      </c>
      <c r="D32" s="149"/>
      <c r="E32" s="149">
        <v>2.6</v>
      </c>
      <c r="F32" s="77"/>
      <c r="G32" s="135"/>
      <c r="H32" s="839"/>
      <c r="I32" s="131" t="s">
        <v>28</v>
      </c>
      <c r="J32" s="132" t="s">
        <v>96</v>
      </c>
      <c r="K32" s="133" t="str">
        <f t="shared" si="0"/>
        <v/>
      </c>
      <c r="L32" s="133">
        <f t="shared" si="1"/>
        <v>2.6</v>
      </c>
      <c r="M32" s="36"/>
      <c r="N32" s="119" t="s">
        <v>364</v>
      </c>
      <c r="O32" s="19" t="s">
        <v>87</v>
      </c>
      <c r="P32" s="133" t="str">
        <f>K16</f>
        <v/>
      </c>
      <c r="Q32" s="133">
        <f>L16</f>
        <v>0.72</v>
      </c>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row>
    <row r="33" spans="1:55" s="134" customFormat="1" ht="12.75">
      <c r="A33" s="135"/>
      <c r="B33" s="129" t="s">
        <v>205</v>
      </c>
      <c r="C33" s="130" t="s">
        <v>278</v>
      </c>
      <c r="D33" s="149"/>
      <c r="E33" s="149">
        <v>0.04</v>
      </c>
      <c r="F33" s="77"/>
      <c r="G33" s="135"/>
      <c r="H33" s="839"/>
      <c r="I33" s="131" t="s">
        <v>29</v>
      </c>
      <c r="J33" s="132" t="s">
        <v>97</v>
      </c>
      <c r="K33" s="133" t="str">
        <f t="shared" si="0"/>
        <v/>
      </c>
      <c r="L33" s="133">
        <f t="shared" si="1"/>
        <v>0.04</v>
      </c>
      <c r="M33" s="36"/>
      <c r="N33" s="119" t="s">
        <v>365</v>
      </c>
      <c r="O33" s="19" t="s">
        <v>145</v>
      </c>
      <c r="P33" s="133" t="str">
        <f>K27</f>
        <v/>
      </c>
      <c r="Q33" s="133">
        <f>L27</f>
        <v>6.52</v>
      </c>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row>
    <row r="34" spans="1:55" s="134" customFormat="1" ht="12.75">
      <c r="A34" s="135"/>
      <c r="B34" s="129" t="s">
        <v>215</v>
      </c>
      <c r="C34" s="130" t="s">
        <v>288</v>
      </c>
      <c r="D34" s="149"/>
      <c r="E34" s="149">
        <v>0.94</v>
      </c>
      <c r="F34" s="77"/>
      <c r="G34" s="135"/>
      <c r="H34" s="839"/>
      <c r="I34" s="131" t="s">
        <v>99</v>
      </c>
      <c r="J34" s="132" t="s">
        <v>98</v>
      </c>
      <c r="K34" s="133" t="str">
        <f t="shared" si="0"/>
        <v/>
      </c>
      <c r="L34" s="133">
        <f t="shared" si="1"/>
        <v>0.94</v>
      </c>
      <c r="M34" s="36"/>
      <c r="N34" s="119" t="s">
        <v>366</v>
      </c>
      <c r="O34" s="19" t="s">
        <v>89</v>
      </c>
      <c r="P34" s="133" t="str">
        <f>K18</f>
        <v/>
      </c>
      <c r="Q34" s="133">
        <f>L18</f>
        <v>3.73</v>
      </c>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row>
    <row r="35" spans="1:55" s="134" customFormat="1" ht="12.75">
      <c r="A35" s="135"/>
      <c r="B35" s="129" t="s">
        <v>188</v>
      </c>
      <c r="C35" s="130" t="s">
        <v>261</v>
      </c>
      <c r="D35" s="149"/>
      <c r="E35" s="149">
        <v>0.52</v>
      </c>
      <c r="F35" s="77"/>
      <c r="G35" s="135"/>
      <c r="H35" s="839"/>
      <c r="I35" s="131" t="s">
        <v>101</v>
      </c>
      <c r="J35" s="132" t="s">
        <v>100</v>
      </c>
      <c r="K35" s="133" t="str">
        <f t="shared" si="0"/>
        <v/>
      </c>
      <c r="L35" s="133">
        <f t="shared" si="1"/>
        <v>0.52</v>
      </c>
      <c r="M35" s="36"/>
      <c r="N35" s="119" t="s">
        <v>367</v>
      </c>
      <c r="O35" s="19" t="s">
        <v>141</v>
      </c>
      <c r="P35" s="133" t="str">
        <f>K20</f>
        <v/>
      </c>
      <c r="Q35" s="133">
        <f>L20</f>
        <v>0</v>
      </c>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row>
    <row r="36" spans="1:55" s="134" customFormat="1" ht="12.75">
      <c r="A36" s="135"/>
      <c r="B36" s="129" t="s">
        <v>217</v>
      </c>
      <c r="C36" s="130" t="s">
        <v>290</v>
      </c>
      <c r="D36" s="149"/>
      <c r="E36" s="149">
        <v>11.91</v>
      </c>
      <c r="F36" s="77"/>
      <c r="G36" s="136"/>
      <c r="H36" s="840"/>
      <c r="I36" s="131" t="s">
        <v>30</v>
      </c>
      <c r="J36" s="132" t="s">
        <v>151</v>
      </c>
      <c r="K36" s="133" t="str">
        <f t="shared" si="0"/>
        <v/>
      </c>
      <c r="L36" s="133">
        <f t="shared" si="1"/>
        <v>11.91</v>
      </c>
      <c r="M36" s="36"/>
      <c r="N36" s="119" t="s">
        <v>368</v>
      </c>
      <c r="O36" s="19" t="s">
        <v>147</v>
      </c>
      <c r="P36" s="133" t="str">
        <f>K28</f>
        <v/>
      </c>
      <c r="Q36" s="133">
        <f>L28</f>
        <v>0</v>
      </c>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row>
    <row r="37" spans="1:55" s="134" customFormat="1" ht="12.75">
      <c r="A37" s="128" t="s">
        <v>31</v>
      </c>
      <c r="B37" s="129" t="s">
        <v>232</v>
      </c>
      <c r="C37" s="130" t="s">
        <v>305</v>
      </c>
      <c r="D37" s="149"/>
      <c r="E37" s="149">
        <v>1.5100000000000002</v>
      </c>
      <c r="F37" s="77"/>
      <c r="G37" s="128" t="s">
        <v>31</v>
      </c>
      <c r="H37" s="205" t="s">
        <v>32</v>
      </c>
      <c r="I37" s="131" t="s">
        <v>33</v>
      </c>
      <c r="J37" s="132" t="s">
        <v>102</v>
      </c>
      <c r="K37" s="133" t="str">
        <f t="shared" si="0"/>
        <v/>
      </c>
      <c r="L37" s="133">
        <f t="shared" si="1"/>
        <v>1.5100000000000002</v>
      </c>
      <c r="M37" s="36"/>
      <c r="N37" s="119" t="s">
        <v>369</v>
      </c>
      <c r="O37" s="19" t="s">
        <v>86</v>
      </c>
      <c r="P37" s="133" t="str">
        <f>K15</f>
        <v/>
      </c>
      <c r="Q37" s="133">
        <f>L15</f>
        <v>28.29</v>
      </c>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row>
    <row r="38" spans="1:55" s="134" customFormat="1" ht="12.75">
      <c r="A38" s="136"/>
      <c r="B38" s="129" t="s">
        <v>247</v>
      </c>
      <c r="C38" s="130" t="s">
        <v>319</v>
      </c>
      <c r="D38" s="149"/>
      <c r="E38" s="149">
        <v>0</v>
      </c>
      <c r="F38" s="77"/>
      <c r="G38" s="128" t="s">
        <v>34</v>
      </c>
      <c r="H38" s="838" t="s">
        <v>152</v>
      </c>
      <c r="I38" s="131" t="s">
        <v>35</v>
      </c>
      <c r="J38" s="132" t="s">
        <v>103</v>
      </c>
      <c r="K38" s="133" t="str">
        <f t="shared" ref="K38:K51" si="6">IF(ISNUMBER(D39),D39,"")</f>
        <v/>
      </c>
      <c r="L38" s="133">
        <f t="shared" ref="L38:L51" si="7">IF(ISNUMBER(E39),E39,"")</f>
        <v>2236.41</v>
      </c>
      <c r="M38" s="36"/>
      <c r="N38" s="119" t="s">
        <v>370</v>
      </c>
      <c r="O38" s="19" t="s">
        <v>143</v>
      </c>
      <c r="P38" s="133" t="str">
        <f>K21</f>
        <v/>
      </c>
      <c r="Q38" s="133">
        <f>L21</f>
        <v>0</v>
      </c>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row>
    <row r="39" spans="1:55" s="134" customFormat="1" ht="12.75">
      <c r="A39" s="128" t="s">
        <v>34</v>
      </c>
      <c r="B39" s="129" t="s">
        <v>236</v>
      </c>
      <c r="C39" s="130" t="s">
        <v>309</v>
      </c>
      <c r="D39" s="149"/>
      <c r="E39" s="149">
        <v>2236.41</v>
      </c>
      <c r="F39" s="77"/>
      <c r="G39" s="136"/>
      <c r="H39" s="840"/>
      <c r="I39" s="131" t="s">
        <v>105</v>
      </c>
      <c r="J39" s="132" t="s">
        <v>104</v>
      </c>
      <c r="K39" s="133" t="str">
        <f t="shared" si="6"/>
        <v/>
      </c>
      <c r="L39" s="133">
        <f t="shared" si="7"/>
        <v>442.1</v>
      </c>
      <c r="M39" s="36"/>
      <c r="N39" s="119" t="s">
        <v>371</v>
      </c>
      <c r="O39" s="19" t="s">
        <v>93</v>
      </c>
      <c r="P39" s="133" t="str">
        <f>K25</f>
        <v/>
      </c>
      <c r="Q39" s="133">
        <f>L25</f>
        <v>66447.789999999994</v>
      </c>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row>
    <row r="40" spans="1:55" s="134" customFormat="1" ht="12.75">
      <c r="A40" s="136"/>
      <c r="B40" s="129" t="s">
        <v>239</v>
      </c>
      <c r="C40" s="130" t="s">
        <v>36</v>
      </c>
      <c r="D40" s="149"/>
      <c r="E40" s="149">
        <v>442.1</v>
      </c>
      <c r="F40" s="77"/>
      <c r="G40" s="128" t="s">
        <v>37</v>
      </c>
      <c r="H40" s="838" t="s">
        <v>153</v>
      </c>
      <c r="I40" s="131" t="s">
        <v>38</v>
      </c>
      <c r="J40" s="132" t="s">
        <v>106</v>
      </c>
      <c r="K40" s="133" t="str">
        <f t="shared" si="6"/>
        <v/>
      </c>
      <c r="L40" s="133">
        <f t="shared" si="7"/>
        <v>6.29</v>
      </c>
      <c r="M40" s="36"/>
      <c r="N40" s="119" t="s">
        <v>372</v>
      </c>
      <c r="O40" s="19" t="s">
        <v>85</v>
      </c>
      <c r="P40" s="133" t="str">
        <f>K14</f>
        <v/>
      </c>
      <c r="Q40" s="133">
        <f>L14</f>
        <v>7.28</v>
      </c>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row>
    <row r="41" spans="1:55" s="134" customFormat="1" ht="12.75">
      <c r="A41" s="135" t="s">
        <v>37</v>
      </c>
      <c r="B41" s="129" t="s">
        <v>197</v>
      </c>
      <c r="C41" s="130" t="s">
        <v>270</v>
      </c>
      <c r="D41" s="149"/>
      <c r="E41" s="149">
        <v>6.29</v>
      </c>
      <c r="F41" s="77"/>
      <c r="G41" s="135"/>
      <c r="H41" s="839"/>
      <c r="I41" s="131" t="s">
        <v>39</v>
      </c>
      <c r="J41" s="132" t="s">
        <v>107</v>
      </c>
      <c r="K41" s="133" t="str">
        <f t="shared" si="6"/>
        <v/>
      </c>
      <c r="L41" s="133">
        <f t="shared" si="7"/>
        <v>279.39</v>
      </c>
      <c r="M41" s="36"/>
      <c r="N41" s="119" t="s">
        <v>373</v>
      </c>
      <c r="O41" s="19" t="s">
        <v>374</v>
      </c>
      <c r="P41" s="133" t="str">
        <f t="shared" ref="P41:Q43" si="8">K10</f>
        <v/>
      </c>
      <c r="Q41" s="133">
        <f t="shared" si="8"/>
        <v>13.36</v>
      </c>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row>
    <row r="42" spans="1:55" s="134" customFormat="1" ht="12.75">
      <c r="A42" s="135"/>
      <c r="B42" s="129" t="s">
        <v>213</v>
      </c>
      <c r="C42" s="130" t="s">
        <v>286</v>
      </c>
      <c r="D42" s="149"/>
      <c r="E42" s="149">
        <v>279.39</v>
      </c>
      <c r="F42" s="77"/>
      <c r="G42" s="135"/>
      <c r="H42" s="839"/>
      <c r="I42" s="131" t="s">
        <v>40</v>
      </c>
      <c r="J42" s="132" t="s">
        <v>108</v>
      </c>
      <c r="K42" s="133" t="str">
        <f t="shared" si="6"/>
        <v/>
      </c>
      <c r="L42" s="133">
        <f t="shared" si="7"/>
        <v>93.32</v>
      </c>
      <c r="M42" s="36"/>
      <c r="N42" s="119" t="s">
        <v>375</v>
      </c>
      <c r="O42" s="19" t="s">
        <v>82</v>
      </c>
      <c r="P42" s="133" t="str">
        <f t="shared" si="8"/>
        <v/>
      </c>
      <c r="Q42" s="133">
        <f t="shared" si="8"/>
        <v>718.36</v>
      </c>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row>
    <row r="43" spans="1:55" s="134" customFormat="1" ht="12.75">
      <c r="A43" s="135"/>
      <c r="B43" s="129" t="s">
        <v>202</v>
      </c>
      <c r="C43" s="130" t="s">
        <v>275</v>
      </c>
      <c r="D43" s="149"/>
      <c r="E43" s="149">
        <v>93.32</v>
      </c>
      <c r="F43" s="77"/>
      <c r="G43" s="136"/>
      <c r="H43" s="840"/>
      <c r="I43" s="131" t="s">
        <v>41</v>
      </c>
      <c r="J43" s="132" t="s">
        <v>109</v>
      </c>
      <c r="K43" s="133" t="str">
        <f t="shared" si="6"/>
        <v/>
      </c>
      <c r="L43" s="133">
        <f t="shared" si="7"/>
        <v>26.4</v>
      </c>
      <c r="M43" s="36"/>
      <c r="N43" s="119" t="s">
        <v>376</v>
      </c>
      <c r="O43" s="19" t="s">
        <v>83</v>
      </c>
      <c r="P43" s="133" t="str">
        <f t="shared" si="8"/>
        <v/>
      </c>
      <c r="Q43" s="133">
        <f t="shared" si="8"/>
        <v>27674.179999999997</v>
      </c>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row>
    <row r="44" spans="1:55" s="134" customFormat="1" ht="12.75">
      <c r="A44" s="136"/>
      <c r="B44" s="129" t="s">
        <v>237</v>
      </c>
      <c r="C44" s="130" t="s">
        <v>310</v>
      </c>
      <c r="D44" s="149"/>
      <c r="E44" s="149">
        <v>26.4</v>
      </c>
      <c r="F44" s="77"/>
      <c r="G44" s="128" t="s">
        <v>42</v>
      </c>
      <c r="H44" s="838" t="s">
        <v>154</v>
      </c>
      <c r="I44" s="131" t="s">
        <v>43</v>
      </c>
      <c r="J44" s="132" t="s">
        <v>110</v>
      </c>
      <c r="K44" s="133" t="str">
        <f t="shared" si="6"/>
        <v/>
      </c>
      <c r="L44" s="133">
        <f t="shared" si="7"/>
        <v>21.740000000000002</v>
      </c>
      <c r="M44" s="36"/>
      <c r="N44" s="119" t="s">
        <v>377</v>
      </c>
      <c r="O44" s="19" t="s">
        <v>378</v>
      </c>
      <c r="P44" s="133" t="str">
        <f>K71</f>
        <v/>
      </c>
      <c r="Q44" s="133">
        <f>L71</f>
        <v>18933.719999999998</v>
      </c>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row>
    <row r="45" spans="1:55" s="134" customFormat="1" ht="12.75">
      <c r="A45" s="135" t="s">
        <v>42</v>
      </c>
      <c r="B45" s="129" t="s">
        <v>235</v>
      </c>
      <c r="C45" s="130" t="s">
        <v>308</v>
      </c>
      <c r="D45" s="149"/>
      <c r="E45" s="149">
        <v>21.740000000000002</v>
      </c>
      <c r="F45" s="77"/>
      <c r="G45" s="135"/>
      <c r="H45" s="839"/>
      <c r="I45" s="131" t="s">
        <v>44</v>
      </c>
      <c r="J45" s="132" t="s">
        <v>111</v>
      </c>
      <c r="K45" s="133" t="str">
        <f t="shared" si="6"/>
        <v/>
      </c>
      <c r="L45" s="133">
        <f t="shared" si="7"/>
        <v>54.300000000000004</v>
      </c>
      <c r="M45" s="36"/>
      <c r="N45" s="119" t="s">
        <v>379</v>
      </c>
      <c r="O45" s="19" t="s">
        <v>176</v>
      </c>
      <c r="P45" s="133" t="str">
        <f>K45</f>
        <v/>
      </c>
      <c r="Q45" s="133">
        <f>L45</f>
        <v>54.300000000000004</v>
      </c>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row>
    <row r="46" spans="1:55" s="134" customFormat="1" ht="12.75">
      <c r="A46" s="135"/>
      <c r="B46" s="129" t="s">
        <v>212</v>
      </c>
      <c r="C46" s="130" t="s">
        <v>285</v>
      </c>
      <c r="D46" s="149"/>
      <c r="E46" s="149">
        <v>54.300000000000004</v>
      </c>
      <c r="F46" s="77"/>
      <c r="G46" s="136"/>
      <c r="H46" s="840"/>
      <c r="I46" s="131" t="s">
        <v>45</v>
      </c>
      <c r="J46" s="132" t="s">
        <v>155</v>
      </c>
      <c r="K46" s="133" t="str">
        <f t="shared" si="6"/>
        <v/>
      </c>
      <c r="L46" s="133">
        <f t="shared" si="7"/>
        <v>303.71999999999997</v>
      </c>
      <c r="M46" s="36"/>
      <c r="N46" s="119" t="s">
        <v>380</v>
      </c>
      <c r="O46" s="19" t="s">
        <v>381</v>
      </c>
      <c r="P46" s="133" t="str">
        <f>K59</f>
        <v/>
      </c>
      <c r="Q46" s="133">
        <f>L59</f>
        <v>0</v>
      </c>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row>
    <row r="47" spans="1:55" s="134" customFormat="1" ht="12.75">
      <c r="A47" s="136"/>
      <c r="B47" s="129" t="s">
        <v>234</v>
      </c>
      <c r="C47" s="130" t="s">
        <v>307</v>
      </c>
      <c r="D47" s="149"/>
      <c r="E47" s="149">
        <v>303.71999999999997</v>
      </c>
      <c r="F47" s="77"/>
      <c r="G47" s="128" t="s">
        <v>46</v>
      </c>
      <c r="H47" s="838" t="s">
        <v>156</v>
      </c>
      <c r="I47" s="131" t="s">
        <v>47</v>
      </c>
      <c r="J47" s="132" t="s">
        <v>112</v>
      </c>
      <c r="K47" s="133" t="str">
        <f t="shared" si="6"/>
        <v/>
      </c>
      <c r="L47" s="133">
        <f t="shared" si="7"/>
        <v>1266.71</v>
      </c>
      <c r="M47" s="36"/>
      <c r="N47" s="119" t="s">
        <v>382</v>
      </c>
      <c r="O47" s="19" t="s">
        <v>383</v>
      </c>
      <c r="P47" s="133" t="str">
        <f>K55</f>
        <v/>
      </c>
      <c r="Q47" s="133">
        <f>L55</f>
        <v>0</v>
      </c>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row>
    <row r="48" spans="1:55" s="134" customFormat="1" ht="12.75">
      <c r="A48" s="128" t="s">
        <v>46</v>
      </c>
      <c r="B48" s="129" t="s">
        <v>241</v>
      </c>
      <c r="C48" s="130" t="s">
        <v>313</v>
      </c>
      <c r="D48" s="149"/>
      <c r="E48" s="149">
        <v>1266.71</v>
      </c>
      <c r="F48" s="77"/>
      <c r="G48" s="135"/>
      <c r="H48" s="839"/>
      <c r="I48" s="131" t="s">
        <v>48</v>
      </c>
      <c r="J48" s="132" t="s">
        <v>157</v>
      </c>
      <c r="K48" s="133" t="str">
        <f t="shared" si="6"/>
        <v/>
      </c>
      <c r="L48" s="133">
        <f t="shared" si="7"/>
        <v>3902.77</v>
      </c>
      <c r="M48" s="36"/>
      <c r="N48" s="119" t="s">
        <v>384</v>
      </c>
      <c r="O48" s="19" t="s">
        <v>106</v>
      </c>
      <c r="P48" s="133" t="str">
        <f>K40</f>
        <v/>
      </c>
      <c r="Q48" s="133">
        <f>L40</f>
        <v>6.29</v>
      </c>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row>
    <row r="49" spans="1:55" s="134" customFormat="1" ht="12.75">
      <c r="A49" s="135"/>
      <c r="B49" s="129" t="s">
        <v>242</v>
      </c>
      <c r="C49" s="130" t="s">
        <v>314</v>
      </c>
      <c r="D49" s="149"/>
      <c r="E49" s="149">
        <v>3902.77</v>
      </c>
      <c r="F49" s="77"/>
      <c r="G49" s="136"/>
      <c r="H49" s="840"/>
      <c r="I49" s="131" t="s">
        <v>49</v>
      </c>
      <c r="J49" s="132" t="s">
        <v>158</v>
      </c>
      <c r="K49" s="133" t="str">
        <f t="shared" si="6"/>
        <v/>
      </c>
      <c r="L49" s="133">
        <f t="shared" si="7"/>
        <v>18628.3</v>
      </c>
      <c r="M49" s="36"/>
      <c r="N49" s="119" t="s">
        <v>385</v>
      </c>
      <c r="O49" s="19" t="s">
        <v>108</v>
      </c>
      <c r="P49" s="133" t="str">
        <f>K42</f>
        <v/>
      </c>
      <c r="Q49" s="133">
        <f>L42</f>
        <v>93.32</v>
      </c>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row>
    <row r="50" spans="1:55" s="134" customFormat="1" ht="12.75" customHeight="1">
      <c r="A50" s="139"/>
      <c r="B50" s="129" t="s">
        <v>245</v>
      </c>
      <c r="C50" s="130" t="s">
        <v>317</v>
      </c>
      <c r="D50" s="149"/>
      <c r="E50" s="149">
        <v>18628.3</v>
      </c>
      <c r="F50" s="77"/>
      <c r="G50" s="128" t="s">
        <v>50</v>
      </c>
      <c r="H50" s="838" t="s">
        <v>159</v>
      </c>
      <c r="I50" s="131" t="s">
        <v>51</v>
      </c>
      <c r="J50" s="132" t="s">
        <v>113</v>
      </c>
      <c r="K50" s="163" t="str">
        <f t="shared" si="6"/>
        <v/>
      </c>
      <c r="L50" s="163">
        <f t="shared" si="7"/>
        <v>9541.92</v>
      </c>
      <c r="M50" s="36"/>
      <c r="N50" s="119" t="s">
        <v>386</v>
      </c>
      <c r="O50" s="19" t="s">
        <v>107</v>
      </c>
      <c r="P50" s="133" t="str">
        <f>K41</f>
        <v/>
      </c>
      <c r="Q50" s="133">
        <f>L41</f>
        <v>279.39</v>
      </c>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row>
    <row r="51" spans="1:55" s="134" customFormat="1" ht="12.75">
      <c r="A51" s="140" t="s">
        <v>50</v>
      </c>
      <c r="B51" s="129" t="s">
        <v>178</v>
      </c>
      <c r="C51" s="130" t="s">
        <v>251</v>
      </c>
      <c r="D51" s="149"/>
      <c r="E51" s="149">
        <v>9541.92</v>
      </c>
      <c r="F51" s="77"/>
      <c r="G51" s="135"/>
      <c r="H51" s="839"/>
      <c r="I51" s="131" t="s">
        <v>115</v>
      </c>
      <c r="J51" s="132" t="s">
        <v>114</v>
      </c>
      <c r="K51" s="163" t="str">
        <f t="shared" si="6"/>
        <v/>
      </c>
      <c r="L51" s="163">
        <f t="shared" si="7"/>
        <v>3.16</v>
      </c>
      <c r="M51" s="36"/>
      <c r="N51" s="119" t="s">
        <v>387</v>
      </c>
      <c r="O51" s="19" t="s">
        <v>388</v>
      </c>
      <c r="P51" s="133" t="str">
        <f t="shared" ref="P51:Q52" si="9">K57</f>
        <v/>
      </c>
      <c r="Q51" s="133">
        <f t="shared" si="9"/>
        <v>0</v>
      </c>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row>
    <row r="52" spans="1:55" s="134" customFormat="1" ht="12.75">
      <c r="A52" s="141"/>
      <c r="B52" s="129" t="s">
        <v>201</v>
      </c>
      <c r="C52" s="130" t="s">
        <v>274</v>
      </c>
      <c r="D52" s="149"/>
      <c r="E52" s="149">
        <v>3.16</v>
      </c>
      <c r="F52" s="77"/>
      <c r="G52" s="135"/>
      <c r="H52" s="839"/>
      <c r="I52" s="131" t="s">
        <v>52</v>
      </c>
      <c r="J52" s="132" t="s">
        <v>116</v>
      </c>
      <c r="K52" s="133" t="str">
        <f t="shared" ref="K52:L64" si="10">IF(ISNUMBER(D54),D54,"")</f>
        <v/>
      </c>
      <c r="L52" s="133">
        <f t="shared" si="10"/>
        <v>0</v>
      </c>
      <c r="M52" s="36"/>
      <c r="N52" s="119" t="s">
        <v>389</v>
      </c>
      <c r="O52" s="19" t="s">
        <v>390</v>
      </c>
      <c r="P52" s="133" t="str">
        <f t="shared" si="9"/>
        <v/>
      </c>
      <c r="Q52" s="133">
        <f t="shared" si="9"/>
        <v>0</v>
      </c>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row>
    <row r="53" spans="1:55" s="134" customFormat="1" ht="12.75">
      <c r="A53" s="141"/>
      <c r="B53" s="142" t="s">
        <v>222</v>
      </c>
      <c r="C53" s="143" t="s">
        <v>295</v>
      </c>
      <c r="D53" s="760"/>
      <c r="E53" s="760">
        <v>804.15</v>
      </c>
      <c r="F53" s="77"/>
      <c r="G53" s="136"/>
      <c r="H53" s="840"/>
      <c r="I53" s="131" t="s">
        <v>118</v>
      </c>
      <c r="J53" s="132" t="s">
        <v>117</v>
      </c>
      <c r="K53" s="133" t="str">
        <f t="shared" ref="K53:K64" si="11">IF(ISNUMBER(D55),D55,"")</f>
        <v/>
      </c>
      <c r="L53" s="133">
        <f t="shared" si="10"/>
        <v>0</v>
      </c>
      <c r="M53" s="36"/>
      <c r="N53" s="119" t="s">
        <v>391</v>
      </c>
      <c r="O53" s="19" t="s">
        <v>392</v>
      </c>
      <c r="P53" s="133" t="str">
        <f>K56</f>
        <v/>
      </c>
      <c r="Q53" s="133">
        <f>L56</f>
        <v>0</v>
      </c>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row>
    <row r="54" spans="1:55" s="134" customFormat="1" ht="25.5">
      <c r="A54" s="141"/>
      <c r="B54" s="129" t="s">
        <v>225</v>
      </c>
      <c r="C54" s="130" t="s">
        <v>298</v>
      </c>
      <c r="D54" s="149"/>
      <c r="E54" s="149">
        <v>0</v>
      </c>
      <c r="F54" s="77"/>
      <c r="G54" s="128" t="s">
        <v>53</v>
      </c>
      <c r="H54" s="838" t="s">
        <v>54</v>
      </c>
      <c r="I54" s="131" t="s">
        <v>55</v>
      </c>
      <c r="J54" s="145" t="s">
        <v>160</v>
      </c>
      <c r="K54" s="133" t="str">
        <f t="shared" si="11"/>
        <v/>
      </c>
      <c r="L54" s="133">
        <f t="shared" si="10"/>
        <v>26.92</v>
      </c>
      <c r="M54" s="36"/>
      <c r="N54" s="120"/>
      <c r="O54" s="63" t="s">
        <v>405</v>
      </c>
      <c r="P54" s="137"/>
      <c r="Q54" s="138"/>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row>
    <row r="55" spans="1:55" s="134" customFormat="1" ht="12.75">
      <c r="A55" s="144"/>
      <c r="B55" s="129" t="s">
        <v>248</v>
      </c>
      <c r="C55" s="130" t="s">
        <v>320</v>
      </c>
      <c r="D55" s="149"/>
      <c r="E55" s="149">
        <v>0</v>
      </c>
      <c r="F55" s="77"/>
      <c r="G55" s="135"/>
      <c r="H55" s="839"/>
      <c r="I55" s="131" t="s">
        <v>56</v>
      </c>
      <c r="J55" s="132" t="s">
        <v>161</v>
      </c>
      <c r="K55" s="133" t="str">
        <f t="shared" si="11"/>
        <v/>
      </c>
      <c r="L55" s="133">
        <f t="shared" si="10"/>
        <v>0</v>
      </c>
      <c r="M55" s="36"/>
      <c r="N55" s="119" t="s">
        <v>393</v>
      </c>
      <c r="O55" s="19" t="s">
        <v>394</v>
      </c>
      <c r="P55" s="163"/>
      <c r="Q55" s="163"/>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row>
    <row r="56" spans="1:55" s="134" customFormat="1" ht="25.5">
      <c r="A56" s="842" t="s">
        <v>53</v>
      </c>
      <c r="B56" s="142" t="s">
        <v>246</v>
      </c>
      <c r="C56" s="130" t="s">
        <v>318</v>
      </c>
      <c r="D56" s="149"/>
      <c r="E56" s="149">
        <v>26.92</v>
      </c>
      <c r="F56" s="77"/>
      <c r="G56" s="135"/>
      <c r="H56" s="839"/>
      <c r="I56" s="131" t="s">
        <v>57</v>
      </c>
      <c r="J56" s="132" t="s">
        <v>162</v>
      </c>
      <c r="K56" s="133" t="str">
        <f t="shared" si="11"/>
        <v/>
      </c>
      <c r="L56" s="133">
        <f t="shared" si="10"/>
        <v>0</v>
      </c>
      <c r="M56" s="36"/>
      <c r="N56" s="119" t="s">
        <v>395</v>
      </c>
      <c r="O56" s="19" t="s">
        <v>396</v>
      </c>
      <c r="P56" s="163"/>
      <c r="Q56" s="163"/>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row>
    <row r="57" spans="1:55" s="134" customFormat="1" ht="12.75">
      <c r="A57" s="843"/>
      <c r="B57" s="129" t="s">
        <v>216</v>
      </c>
      <c r="C57" s="130" t="s">
        <v>289</v>
      </c>
      <c r="D57" s="149"/>
      <c r="E57" s="149">
        <v>0</v>
      </c>
      <c r="F57" s="77"/>
      <c r="G57" s="135"/>
      <c r="H57" s="839"/>
      <c r="I57" s="131" t="s">
        <v>120</v>
      </c>
      <c r="J57" s="132" t="s">
        <v>119</v>
      </c>
      <c r="K57" s="133" t="str">
        <f t="shared" si="11"/>
        <v/>
      </c>
      <c r="L57" s="133">
        <f t="shared" si="10"/>
        <v>0</v>
      </c>
      <c r="M57" s="36"/>
      <c r="N57" s="72"/>
      <c r="O57" s="146" t="s">
        <v>408</v>
      </c>
      <c r="P57" s="147"/>
      <c r="Q57" s="148"/>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row>
    <row r="58" spans="1:55" s="134" customFormat="1" ht="12.75">
      <c r="A58" s="843"/>
      <c r="B58" s="129" t="s">
        <v>214</v>
      </c>
      <c r="C58" s="130" t="s">
        <v>287</v>
      </c>
      <c r="D58" s="149"/>
      <c r="E58" s="149">
        <v>0</v>
      </c>
      <c r="F58" s="77"/>
      <c r="G58" s="135"/>
      <c r="H58" s="839"/>
      <c r="I58" s="131" t="s">
        <v>122</v>
      </c>
      <c r="J58" s="132" t="s">
        <v>121</v>
      </c>
      <c r="K58" s="133" t="str">
        <f t="shared" si="11"/>
        <v/>
      </c>
      <c r="L58" s="133">
        <f t="shared" si="10"/>
        <v>0</v>
      </c>
      <c r="M58" s="36"/>
      <c r="N58" s="121">
        <v>1</v>
      </c>
      <c r="O58" s="132" t="s">
        <v>397</v>
      </c>
      <c r="P58" s="133">
        <f t="shared" ref="P58:Q58" si="12">SUM(K23:K24,K29:K30)</f>
        <v>0</v>
      </c>
      <c r="Q58" s="133">
        <f t="shared" si="12"/>
        <v>812.53</v>
      </c>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row>
    <row r="59" spans="1:55" s="134" customFormat="1" ht="12.75">
      <c r="A59" s="843"/>
      <c r="B59" s="129" t="s">
        <v>218</v>
      </c>
      <c r="C59" s="130" t="s">
        <v>291</v>
      </c>
      <c r="D59" s="149"/>
      <c r="E59" s="149">
        <v>0</v>
      </c>
      <c r="F59" s="77"/>
      <c r="G59" s="135"/>
      <c r="H59" s="839"/>
      <c r="I59" s="131" t="s">
        <v>124</v>
      </c>
      <c r="J59" s="132" t="s">
        <v>123</v>
      </c>
      <c r="K59" s="133" t="str">
        <f t="shared" si="11"/>
        <v/>
      </c>
      <c r="L59" s="133">
        <f t="shared" si="10"/>
        <v>0</v>
      </c>
      <c r="M59" s="36"/>
      <c r="N59" s="121">
        <v>2</v>
      </c>
      <c r="O59" s="132" t="s">
        <v>398</v>
      </c>
      <c r="P59" s="133">
        <f t="shared" ref="P59:Q59" si="13">SUM(K31:K33,K36)</f>
        <v>0</v>
      </c>
      <c r="Q59" s="133">
        <f t="shared" si="13"/>
        <v>504.93000000000006</v>
      </c>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row>
    <row r="60" spans="1:55" s="134" customFormat="1" ht="12.75">
      <c r="A60" s="843"/>
      <c r="B60" s="129" t="s">
        <v>219</v>
      </c>
      <c r="C60" s="130" t="s">
        <v>292</v>
      </c>
      <c r="D60" s="149"/>
      <c r="E60" s="149">
        <v>0</v>
      </c>
      <c r="F60" s="77"/>
      <c r="G60" s="135"/>
      <c r="H60" s="839"/>
      <c r="I60" s="131" t="s">
        <v>58</v>
      </c>
      <c r="J60" s="132" t="s">
        <v>136</v>
      </c>
      <c r="K60" s="133" t="str">
        <f t="shared" si="11"/>
        <v/>
      </c>
      <c r="L60" s="133">
        <f t="shared" si="10"/>
        <v>0.05</v>
      </c>
      <c r="M60" s="36"/>
      <c r="N60" s="121">
        <v>3</v>
      </c>
      <c r="O60" s="132" t="s">
        <v>323</v>
      </c>
      <c r="P60" s="133">
        <f t="shared" ref="P60:Q60" si="14">SUM(K60:K63)</f>
        <v>0</v>
      </c>
      <c r="Q60" s="133">
        <f t="shared" si="14"/>
        <v>2431.0700000000002</v>
      </c>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row>
    <row r="61" spans="1:55" s="134" customFormat="1" ht="12.75">
      <c r="A61" s="843"/>
      <c r="B61" s="129" t="s">
        <v>195</v>
      </c>
      <c r="C61" s="130" t="s">
        <v>268</v>
      </c>
      <c r="D61" s="149"/>
      <c r="E61" s="149">
        <v>0</v>
      </c>
      <c r="F61" s="77"/>
      <c r="G61" s="135"/>
      <c r="H61" s="839"/>
      <c r="I61" s="131" t="s">
        <v>59</v>
      </c>
      <c r="J61" s="132" t="s">
        <v>125</v>
      </c>
      <c r="K61" s="133" t="str">
        <f t="shared" si="11"/>
        <v/>
      </c>
      <c r="L61" s="133">
        <f t="shared" si="10"/>
        <v>2423.56</v>
      </c>
      <c r="M61" s="36"/>
      <c r="N61" s="121">
        <v>4</v>
      </c>
      <c r="O61" s="132" t="s">
        <v>159</v>
      </c>
      <c r="P61" s="133">
        <f t="shared" ref="P61:Q61" si="15">SUM(K50:K53)</f>
        <v>0</v>
      </c>
      <c r="Q61" s="133">
        <f t="shared" si="15"/>
        <v>9545.08</v>
      </c>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row>
    <row r="62" spans="1:55" s="134" customFormat="1" ht="25.5">
      <c r="A62" s="843"/>
      <c r="B62" s="129" t="s">
        <v>206</v>
      </c>
      <c r="C62" s="130" t="s">
        <v>279</v>
      </c>
      <c r="D62" s="149"/>
      <c r="E62" s="149">
        <v>0.05</v>
      </c>
      <c r="F62" s="77"/>
      <c r="G62" s="135"/>
      <c r="H62" s="839"/>
      <c r="I62" s="131" t="s">
        <v>60</v>
      </c>
      <c r="J62" s="145" t="s">
        <v>163</v>
      </c>
      <c r="K62" s="133" t="str">
        <f t="shared" si="11"/>
        <v/>
      </c>
      <c r="L62" s="133">
        <f t="shared" si="10"/>
        <v>7.26</v>
      </c>
      <c r="M62" s="36"/>
      <c r="N62" s="121">
        <v>5</v>
      </c>
      <c r="O62" s="142" t="s">
        <v>399</v>
      </c>
      <c r="P62" s="133" t="str">
        <f t="shared" ref="P62:Q63" si="16">K64</f>
        <v/>
      </c>
      <c r="Q62" s="133">
        <f t="shared" si="16"/>
        <v>148.10000000000002</v>
      </c>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row>
    <row r="63" spans="1:55" s="134" customFormat="1" ht="12.75">
      <c r="A63" s="843"/>
      <c r="B63" s="129" t="s">
        <v>228</v>
      </c>
      <c r="C63" s="130" t="s">
        <v>301</v>
      </c>
      <c r="D63" s="149"/>
      <c r="E63" s="149">
        <v>2423.56</v>
      </c>
      <c r="F63" s="77"/>
      <c r="G63" s="136"/>
      <c r="H63" s="840"/>
      <c r="I63" s="131" t="s">
        <v>61</v>
      </c>
      <c r="J63" s="132" t="s">
        <v>126</v>
      </c>
      <c r="K63" s="133" t="str">
        <f t="shared" si="11"/>
        <v/>
      </c>
      <c r="L63" s="133">
        <f t="shared" si="10"/>
        <v>0.2</v>
      </c>
      <c r="M63" s="36"/>
      <c r="N63" s="58">
        <v>6</v>
      </c>
      <c r="O63" s="248" t="s">
        <v>468</v>
      </c>
      <c r="P63" s="133" t="str">
        <f t="shared" si="16"/>
        <v/>
      </c>
      <c r="Q63" s="133">
        <f t="shared" si="16"/>
        <v>189995.93000000002</v>
      </c>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row>
    <row r="64" spans="1:55" s="134" customFormat="1" ht="25.5">
      <c r="A64" s="843"/>
      <c r="B64" s="142" t="s">
        <v>224</v>
      </c>
      <c r="C64" s="130" t="s">
        <v>297</v>
      </c>
      <c r="D64" s="149"/>
      <c r="E64" s="149">
        <v>7.26</v>
      </c>
      <c r="F64" s="77"/>
      <c r="G64" s="128" t="s">
        <v>62</v>
      </c>
      <c r="H64" s="838" t="s">
        <v>164</v>
      </c>
      <c r="I64" s="131" t="s">
        <v>63</v>
      </c>
      <c r="J64" s="132" t="s">
        <v>165</v>
      </c>
      <c r="K64" s="133" t="str">
        <f t="shared" si="11"/>
        <v/>
      </c>
      <c r="L64" s="133">
        <f t="shared" si="10"/>
        <v>148.10000000000002</v>
      </c>
      <c r="M64" s="36"/>
      <c r="N64" s="58">
        <v>7</v>
      </c>
      <c r="O64" s="248" t="s">
        <v>469</v>
      </c>
      <c r="P64" s="133">
        <f>SUM(K66,K69)</f>
        <v>0</v>
      </c>
      <c r="Q64" s="133">
        <f>SUM(L66,L69)</f>
        <v>531.54999999999995</v>
      </c>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row>
    <row r="65" spans="1:55" s="134" customFormat="1" ht="12.75">
      <c r="A65" s="844"/>
      <c r="B65" s="129" t="s">
        <v>203</v>
      </c>
      <c r="C65" s="130" t="s">
        <v>276</v>
      </c>
      <c r="D65" s="149"/>
      <c r="E65" s="149">
        <v>0.2</v>
      </c>
      <c r="F65" s="77"/>
      <c r="G65" s="135"/>
      <c r="H65" s="839"/>
      <c r="I65" s="131" t="s">
        <v>64</v>
      </c>
      <c r="J65" s="132" t="s">
        <v>127</v>
      </c>
      <c r="K65" s="133" t="str">
        <f t="shared" ref="K65:K78" si="17">IF(ISNUMBER(D67),D67,"")</f>
        <v/>
      </c>
      <c r="L65" s="133">
        <f t="shared" ref="L65:L78" si="18">IF(ISNUMBER(E67),E67,"")</f>
        <v>189995.93000000002</v>
      </c>
      <c r="M65" s="36"/>
      <c r="N65" s="58">
        <v>8</v>
      </c>
      <c r="O65" s="216" t="s">
        <v>133</v>
      </c>
      <c r="P65" s="133" t="str">
        <f>K78</f>
        <v/>
      </c>
      <c r="Q65" s="133">
        <f>L78</f>
        <v>0</v>
      </c>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row>
    <row r="66" spans="1:55" s="134" customFormat="1" ht="12.75">
      <c r="A66" s="128" t="s">
        <v>62</v>
      </c>
      <c r="B66" s="129" t="s">
        <v>192</v>
      </c>
      <c r="C66" s="130" t="s">
        <v>265</v>
      </c>
      <c r="D66" s="149"/>
      <c r="E66" s="149">
        <v>148.10000000000002</v>
      </c>
      <c r="F66" s="77"/>
      <c r="G66" s="135"/>
      <c r="H66" s="839"/>
      <c r="I66" s="131" t="s">
        <v>65</v>
      </c>
      <c r="J66" s="132" t="s">
        <v>166</v>
      </c>
      <c r="K66" s="133" t="str">
        <f t="shared" si="17"/>
        <v/>
      </c>
      <c r="L66" s="133">
        <f t="shared" si="18"/>
        <v>1.79</v>
      </c>
      <c r="M66" s="36"/>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row>
    <row r="67" spans="1:55" s="134" customFormat="1" ht="12.75">
      <c r="A67" s="135"/>
      <c r="B67" s="129" t="s">
        <v>223</v>
      </c>
      <c r="C67" s="130" t="s">
        <v>296</v>
      </c>
      <c r="D67" s="149"/>
      <c r="E67" s="149">
        <v>189995.93000000002</v>
      </c>
      <c r="F67" s="77"/>
      <c r="G67" s="135"/>
      <c r="H67" s="839"/>
      <c r="I67" s="131" t="s">
        <v>66</v>
      </c>
      <c r="J67" s="132" t="s">
        <v>173</v>
      </c>
      <c r="K67" s="133" t="str">
        <f t="shared" si="17"/>
        <v/>
      </c>
      <c r="L67" s="133">
        <f t="shared" si="18"/>
        <v>595.73</v>
      </c>
      <c r="M67" s="36"/>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row>
    <row r="68" spans="1:55" s="134" customFormat="1" ht="12.75">
      <c r="A68" s="135"/>
      <c r="B68" s="129" t="s">
        <v>199</v>
      </c>
      <c r="C68" s="130" t="s">
        <v>272</v>
      </c>
      <c r="D68" s="149"/>
      <c r="E68" s="149">
        <v>1.79</v>
      </c>
      <c r="F68" s="77"/>
      <c r="G68" s="135"/>
      <c r="H68" s="839"/>
      <c r="I68" s="131" t="s">
        <v>67</v>
      </c>
      <c r="J68" s="132" t="s">
        <v>174</v>
      </c>
      <c r="K68" s="133" t="str">
        <f t="shared" si="17"/>
        <v/>
      </c>
      <c r="L68" s="133">
        <f t="shared" si="18"/>
        <v>168.13</v>
      </c>
      <c r="M68" s="36"/>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row>
    <row r="69" spans="1:55" s="134" customFormat="1" ht="12.75">
      <c r="A69" s="135"/>
      <c r="B69" s="129" t="s">
        <v>200</v>
      </c>
      <c r="C69" s="130" t="s">
        <v>273</v>
      </c>
      <c r="D69" s="149"/>
      <c r="E69" s="149">
        <v>595.73</v>
      </c>
      <c r="F69" s="77"/>
      <c r="G69" s="135"/>
      <c r="H69" s="839"/>
      <c r="I69" s="131" t="s">
        <v>68</v>
      </c>
      <c r="J69" s="132" t="s">
        <v>175</v>
      </c>
      <c r="K69" s="133" t="str">
        <f t="shared" si="17"/>
        <v/>
      </c>
      <c r="L69" s="133">
        <f t="shared" si="18"/>
        <v>529.76</v>
      </c>
      <c r="M69" s="36"/>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row>
    <row r="70" spans="1:55" s="134" customFormat="1" ht="12.75">
      <c r="A70" s="135"/>
      <c r="B70" s="129" t="s">
        <v>196</v>
      </c>
      <c r="C70" s="130" t="s">
        <v>269</v>
      </c>
      <c r="D70" s="149"/>
      <c r="E70" s="149">
        <v>168.13</v>
      </c>
      <c r="F70" s="77"/>
      <c r="G70" s="135"/>
      <c r="H70" s="839"/>
      <c r="I70" s="131" t="s">
        <v>128</v>
      </c>
      <c r="J70" s="132" t="s">
        <v>167</v>
      </c>
      <c r="K70" s="163" t="str">
        <f t="shared" si="17"/>
        <v/>
      </c>
      <c r="L70" s="163">
        <f t="shared" si="18"/>
        <v>52346.92</v>
      </c>
      <c r="M70" s="36"/>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row>
    <row r="71" spans="1:55" s="134" customFormat="1" ht="12.75">
      <c r="A71" s="135"/>
      <c r="B71" s="129" t="s">
        <v>198</v>
      </c>
      <c r="C71" s="130" t="s">
        <v>271</v>
      </c>
      <c r="D71" s="149"/>
      <c r="E71" s="149">
        <v>529.76</v>
      </c>
      <c r="F71" s="77"/>
      <c r="G71" s="135"/>
      <c r="H71" s="839"/>
      <c r="I71" s="131" t="s">
        <v>69</v>
      </c>
      <c r="J71" s="132" t="s">
        <v>129</v>
      </c>
      <c r="K71" s="133" t="str">
        <f t="shared" si="17"/>
        <v/>
      </c>
      <c r="L71" s="133">
        <f t="shared" si="18"/>
        <v>18933.719999999998</v>
      </c>
      <c r="M71" s="36"/>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row>
    <row r="72" spans="1:55" s="134" customFormat="1" ht="12.75">
      <c r="A72" s="135"/>
      <c r="B72" s="129" t="s">
        <v>220</v>
      </c>
      <c r="C72" s="130" t="s">
        <v>293</v>
      </c>
      <c r="D72" s="149"/>
      <c r="E72" s="149">
        <v>52346.92</v>
      </c>
      <c r="F72" s="77"/>
      <c r="G72" s="136"/>
      <c r="H72" s="840"/>
      <c r="I72" s="131" t="s">
        <v>70</v>
      </c>
      <c r="J72" s="132" t="s">
        <v>168</v>
      </c>
      <c r="K72" s="133" t="str">
        <f t="shared" si="17"/>
        <v/>
      </c>
      <c r="L72" s="133">
        <f t="shared" si="18"/>
        <v>277.58</v>
      </c>
      <c r="M72" s="36"/>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row>
    <row r="73" spans="1:55" s="134" customFormat="1" ht="15" customHeight="1">
      <c r="A73" s="135"/>
      <c r="B73" s="129" t="s">
        <v>181</v>
      </c>
      <c r="C73" s="130" t="s">
        <v>254</v>
      </c>
      <c r="D73" s="149"/>
      <c r="E73" s="149">
        <v>18933.719999999998</v>
      </c>
      <c r="F73" s="77"/>
      <c r="G73" s="128" t="s">
        <v>71</v>
      </c>
      <c r="H73" s="838" t="s">
        <v>169</v>
      </c>
      <c r="I73" s="131" t="s">
        <v>72</v>
      </c>
      <c r="J73" s="132" t="s">
        <v>170</v>
      </c>
      <c r="K73" s="133" t="str">
        <f t="shared" si="17"/>
        <v/>
      </c>
      <c r="L73" s="133">
        <f t="shared" si="18"/>
        <v>5775.0499999999993</v>
      </c>
      <c r="M73" s="36"/>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row>
    <row r="74" spans="1:55" s="134" customFormat="1" ht="12.75">
      <c r="A74" s="136"/>
      <c r="B74" s="129" t="s">
        <v>187</v>
      </c>
      <c r="C74" s="130" t="s">
        <v>260</v>
      </c>
      <c r="D74" s="149"/>
      <c r="E74" s="149">
        <v>277.58</v>
      </c>
      <c r="F74" s="77"/>
      <c r="G74" s="135"/>
      <c r="H74" s="839"/>
      <c r="I74" s="131" t="s">
        <v>73</v>
      </c>
      <c r="J74" s="132" t="s">
        <v>130</v>
      </c>
      <c r="K74" s="133" t="str">
        <f t="shared" si="17"/>
        <v/>
      </c>
      <c r="L74" s="133">
        <f t="shared" si="18"/>
        <v>372.27</v>
      </c>
      <c r="M74" s="36"/>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row>
    <row r="75" spans="1:55" s="134" customFormat="1" ht="12.75">
      <c r="A75" s="135" t="s">
        <v>71</v>
      </c>
      <c r="B75" s="129" t="s">
        <v>190</v>
      </c>
      <c r="C75" s="130" t="s">
        <v>263</v>
      </c>
      <c r="D75" s="149"/>
      <c r="E75" s="149">
        <v>5775.0499999999993</v>
      </c>
      <c r="F75" s="77"/>
      <c r="G75" s="136"/>
      <c r="H75" s="840"/>
      <c r="I75" s="131" t="s">
        <v>74</v>
      </c>
      <c r="J75" s="132" t="s">
        <v>131</v>
      </c>
      <c r="K75" s="133" t="str">
        <f t="shared" si="17"/>
        <v/>
      </c>
      <c r="L75" s="133">
        <f t="shared" si="18"/>
        <v>5.37</v>
      </c>
      <c r="M75" s="36"/>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row>
    <row r="76" spans="1:55" s="134" customFormat="1" ht="38.25">
      <c r="A76" s="135"/>
      <c r="B76" s="129" t="s">
        <v>243</v>
      </c>
      <c r="C76" s="130" t="s">
        <v>315</v>
      </c>
      <c r="D76" s="149"/>
      <c r="E76" s="149">
        <v>372.27</v>
      </c>
      <c r="F76" s="77"/>
      <c r="G76" s="128" t="s">
        <v>75</v>
      </c>
      <c r="H76" s="838" t="s">
        <v>76</v>
      </c>
      <c r="I76" s="131" t="s">
        <v>77</v>
      </c>
      <c r="J76" s="145" t="s">
        <v>171</v>
      </c>
      <c r="K76" s="133" t="str">
        <f t="shared" si="17"/>
        <v/>
      </c>
      <c r="L76" s="133">
        <f t="shared" si="18"/>
        <v>345.70000000000005</v>
      </c>
      <c r="M76" s="36"/>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row>
    <row r="77" spans="1:55" s="134" customFormat="1" ht="12.75">
      <c r="A77" s="135"/>
      <c r="B77" s="129" t="s">
        <v>240</v>
      </c>
      <c r="C77" s="130" t="s">
        <v>312</v>
      </c>
      <c r="D77" s="149"/>
      <c r="E77" s="149">
        <v>5.37</v>
      </c>
      <c r="F77" s="77"/>
      <c r="G77" s="135"/>
      <c r="H77" s="839"/>
      <c r="I77" s="131" t="s">
        <v>78</v>
      </c>
      <c r="J77" s="132" t="s">
        <v>132</v>
      </c>
      <c r="K77" s="133" t="str">
        <f t="shared" si="17"/>
        <v/>
      </c>
      <c r="L77" s="133">
        <f t="shared" si="18"/>
        <v>10.45</v>
      </c>
      <c r="M77" s="36"/>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row>
    <row r="78" spans="1:55" s="134" customFormat="1" ht="25.5">
      <c r="A78" s="136"/>
      <c r="B78" s="142" t="s">
        <v>231</v>
      </c>
      <c r="C78" s="130" t="s">
        <v>304</v>
      </c>
      <c r="D78" s="149"/>
      <c r="E78" s="149">
        <v>345.70000000000005</v>
      </c>
      <c r="F78" s="77"/>
      <c r="G78" s="135"/>
      <c r="H78" s="839"/>
      <c r="I78" s="131" t="s">
        <v>134</v>
      </c>
      <c r="J78" s="132" t="s">
        <v>133</v>
      </c>
      <c r="K78" s="163" t="str">
        <f t="shared" si="17"/>
        <v/>
      </c>
      <c r="L78" s="163">
        <f t="shared" si="18"/>
        <v>0</v>
      </c>
      <c r="M78" s="36"/>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row>
    <row r="79" spans="1:55" s="134" customFormat="1" ht="12.75">
      <c r="A79" s="128" t="s">
        <v>75</v>
      </c>
      <c r="B79" s="129" t="s">
        <v>238</v>
      </c>
      <c r="C79" s="130" t="s">
        <v>311</v>
      </c>
      <c r="D79" s="149"/>
      <c r="E79" s="149">
        <v>10.45</v>
      </c>
      <c r="F79" s="77"/>
      <c r="G79" s="136"/>
      <c r="H79" s="840"/>
      <c r="I79" s="131" t="s">
        <v>172</v>
      </c>
      <c r="J79" s="132" t="s">
        <v>135</v>
      </c>
      <c r="K79" s="133" t="str">
        <f t="shared" ref="K79:L79" si="19">IF(ISNUMBER(D38),D38,"")</f>
        <v/>
      </c>
      <c r="L79" s="133">
        <f t="shared" si="19"/>
        <v>0</v>
      </c>
      <c r="M79" s="36"/>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row>
    <row r="80" spans="1:55" s="134" customFormat="1" ht="12.75">
      <c r="A80" s="136"/>
      <c r="B80" s="129" t="s">
        <v>229</v>
      </c>
      <c r="C80" s="130" t="s">
        <v>302</v>
      </c>
      <c r="D80" s="149"/>
      <c r="E80" s="149">
        <v>0</v>
      </c>
      <c r="F80" s="77"/>
      <c r="G80" s="183"/>
      <c r="H80" s="181"/>
      <c r="I80" s="181"/>
      <c r="J80" s="181"/>
      <c r="K80" s="181"/>
      <c r="L80" s="181"/>
      <c r="M80" s="36"/>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row>
    <row r="81" spans="1:55" s="134" customFormat="1" ht="15" customHeight="1">
      <c r="A81" s="181"/>
      <c r="B81" s="181"/>
      <c r="C81" s="181"/>
      <c r="D81" s="182"/>
      <c r="E81" s="182"/>
      <c r="F81" s="77"/>
      <c r="G81" s="183"/>
      <c r="H81" s="181"/>
      <c r="I81" s="181"/>
      <c r="J81" s="181"/>
      <c r="K81" s="181"/>
      <c r="L81" s="181"/>
      <c r="M81" s="36"/>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181"/>
    </row>
    <row r="82" spans="1:55" s="134" customFormat="1" ht="12.75">
      <c r="A82" s="181"/>
      <c r="B82" s="181"/>
      <c r="C82" s="181"/>
      <c r="D82" s="182"/>
      <c r="E82" s="182"/>
      <c r="F82" s="77"/>
      <c r="G82" s="186"/>
      <c r="H82" s="184"/>
      <c r="I82" s="184"/>
      <c r="J82" s="184"/>
      <c r="K82" s="184"/>
      <c r="L82" s="184"/>
      <c r="M82" s="36"/>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c r="AW82" s="181"/>
      <c r="AX82" s="181"/>
      <c r="AY82" s="181"/>
      <c r="AZ82" s="181"/>
      <c r="BA82" s="181"/>
      <c r="BB82" s="181"/>
      <c r="BC82" s="181"/>
    </row>
    <row r="83" spans="1:55" s="181" customFormat="1" ht="12.75">
      <c r="D83" s="182"/>
      <c r="E83" s="182"/>
      <c r="F83" s="77"/>
      <c r="G83" s="186"/>
      <c r="H83" s="184"/>
      <c r="I83" s="184"/>
      <c r="J83" s="184"/>
      <c r="K83" s="184"/>
      <c r="L83" s="184"/>
      <c r="M83" s="36"/>
    </row>
    <row r="84" spans="1:55" s="181" customFormat="1">
      <c r="A84" s="184"/>
      <c r="B84" s="184"/>
      <c r="C84" s="184"/>
      <c r="D84" s="185"/>
      <c r="E84" s="185"/>
      <c r="F84" s="77"/>
      <c r="G84" s="186"/>
      <c r="H84" s="184"/>
      <c r="I84" s="184"/>
      <c r="J84" s="184"/>
      <c r="K84" s="184"/>
      <c r="L84" s="184"/>
      <c r="M84" s="36"/>
    </row>
    <row r="85" spans="1:55" s="184" customFormat="1">
      <c r="D85" s="185"/>
      <c r="E85" s="185"/>
      <c r="F85" s="165"/>
      <c r="G85" s="186"/>
      <c r="M85" s="187"/>
      <c r="N85" s="181"/>
      <c r="O85" s="181"/>
      <c r="P85" s="181"/>
      <c r="Q85" s="181"/>
    </row>
    <row r="86" spans="1:55" s="184" customFormat="1">
      <c r="D86" s="185"/>
      <c r="E86" s="185"/>
      <c r="F86" s="165"/>
      <c r="G86" s="186"/>
      <c r="M86" s="187"/>
    </row>
    <row r="87" spans="1:55" s="184" customFormat="1" ht="15" customHeight="1">
      <c r="D87" s="185"/>
      <c r="E87" s="185"/>
      <c r="F87" s="165"/>
      <c r="G87" s="186"/>
      <c r="M87" s="187"/>
    </row>
    <row r="88" spans="1:55" s="184" customFormat="1">
      <c r="B88" s="188"/>
      <c r="D88" s="185"/>
      <c r="E88" s="185"/>
      <c r="F88" s="165"/>
      <c r="G88" s="186"/>
      <c r="M88" s="187"/>
    </row>
    <row r="89" spans="1:55" s="184" customFormat="1">
      <c r="B89" s="188"/>
      <c r="D89" s="185"/>
      <c r="E89" s="185"/>
      <c r="F89" s="165"/>
      <c r="G89" s="186"/>
      <c r="M89" s="187"/>
    </row>
    <row r="90" spans="1:55" s="184" customFormat="1">
      <c r="B90" s="188"/>
      <c r="D90" s="185"/>
      <c r="E90" s="185"/>
      <c r="F90" s="165"/>
      <c r="G90" s="186"/>
      <c r="M90" s="187"/>
    </row>
    <row r="91" spans="1:55" s="184" customFormat="1">
      <c r="D91" s="185"/>
      <c r="E91" s="185"/>
      <c r="F91" s="165"/>
      <c r="G91" s="186"/>
      <c r="M91" s="187"/>
    </row>
    <row r="92" spans="1:55" s="184" customFormat="1">
      <c r="D92" s="185"/>
      <c r="E92" s="185"/>
      <c r="F92" s="165"/>
      <c r="G92" s="186"/>
      <c r="M92" s="187"/>
    </row>
    <row r="93" spans="1:55" s="184" customFormat="1">
      <c r="D93" s="185"/>
      <c r="E93" s="185"/>
      <c r="F93" s="165"/>
      <c r="G93" s="186"/>
      <c r="M93" s="187"/>
    </row>
    <row r="94" spans="1:55" s="184" customFormat="1">
      <c r="D94" s="185"/>
      <c r="E94" s="185"/>
      <c r="F94" s="165"/>
      <c r="G94" s="186"/>
      <c r="M94" s="187"/>
    </row>
    <row r="95" spans="1:55" s="184" customFormat="1">
      <c r="D95" s="189"/>
      <c r="E95" s="189"/>
      <c r="F95" s="165"/>
      <c r="G95" s="186"/>
      <c r="M95" s="187"/>
    </row>
    <row r="96" spans="1:55" s="184" customFormat="1">
      <c r="D96" s="189"/>
      <c r="E96" s="189"/>
      <c r="F96" s="165"/>
      <c r="G96" s="186"/>
      <c r="M96" s="187"/>
    </row>
    <row r="97" spans="4:13" s="184" customFormat="1">
      <c r="D97" s="189"/>
      <c r="E97" s="189"/>
      <c r="F97" s="165"/>
      <c r="G97" s="186"/>
      <c r="M97" s="187"/>
    </row>
    <row r="98" spans="4:13" s="184" customFormat="1">
      <c r="D98" s="189"/>
      <c r="E98" s="189"/>
      <c r="F98" s="165"/>
      <c r="G98" s="186"/>
      <c r="M98" s="187"/>
    </row>
    <row r="99" spans="4:13" s="184" customFormat="1">
      <c r="D99" s="189"/>
      <c r="E99" s="189"/>
      <c r="F99" s="165"/>
      <c r="G99" s="186"/>
      <c r="M99" s="187"/>
    </row>
    <row r="100" spans="4:13" s="184" customFormat="1">
      <c r="D100" s="189"/>
      <c r="E100" s="189"/>
      <c r="F100" s="165"/>
      <c r="G100" s="186"/>
      <c r="M100" s="187"/>
    </row>
    <row r="101" spans="4:13" s="184" customFormat="1">
      <c r="D101" s="189"/>
      <c r="E101" s="189"/>
      <c r="F101" s="165"/>
      <c r="G101" s="186"/>
      <c r="M101" s="187"/>
    </row>
    <row r="102" spans="4:13" s="184" customFormat="1">
      <c r="D102" s="189"/>
      <c r="E102" s="189"/>
      <c r="F102" s="165"/>
      <c r="G102" s="186"/>
      <c r="M102" s="187"/>
    </row>
    <row r="103" spans="4:13" s="184" customFormat="1">
      <c r="D103" s="189"/>
      <c r="E103" s="189"/>
      <c r="F103" s="165"/>
      <c r="G103" s="186"/>
      <c r="M103" s="187"/>
    </row>
    <row r="104" spans="4:13" s="184" customFormat="1">
      <c r="D104" s="189"/>
      <c r="E104" s="189"/>
      <c r="F104" s="165"/>
      <c r="G104" s="186"/>
      <c r="M104" s="187"/>
    </row>
    <row r="105" spans="4:13" s="184" customFormat="1">
      <c r="D105" s="189"/>
      <c r="E105" s="189"/>
      <c r="F105" s="165"/>
      <c r="G105" s="186"/>
      <c r="M105" s="187"/>
    </row>
    <row r="106" spans="4:13" s="184" customFormat="1">
      <c r="D106" s="189"/>
      <c r="E106" s="189"/>
      <c r="F106" s="165"/>
      <c r="G106" s="186"/>
      <c r="M106" s="187"/>
    </row>
    <row r="107" spans="4:13" s="184" customFormat="1">
      <c r="D107" s="189"/>
      <c r="E107" s="189"/>
      <c r="F107" s="165"/>
      <c r="G107" s="186"/>
      <c r="M107" s="187"/>
    </row>
    <row r="108" spans="4:13" s="184" customFormat="1">
      <c r="D108" s="189"/>
      <c r="E108" s="189"/>
      <c r="F108" s="165"/>
      <c r="G108" s="186"/>
      <c r="M108" s="187"/>
    </row>
    <row r="109" spans="4:13" s="184" customFormat="1">
      <c r="D109" s="189"/>
      <c r="E109" s="189"/>
      <c r="F109" s="165"/>
      <c r="G109" s="186"/>
      <c r="M109" s="187"/>
    </row>
    <row r="110" spans="4:13" s="184" customFormat="1">
      <c r="D110" s="189"/>
      <c r="E110" s="189"/>
      <c r="F110" s="165"/>
      <c r="G110" s="186"/>
      <c r="M110" s="187"/>
    </row>
    <row r="111" spans="4:13" s="184" customFormat="1">
      <c r="D111" s="189"/>
      <c r="E111" s="189"/>
      <c r="F111" s="165"/>
      <c r="G111" s="186"/>
      <c r="M111" s="187"/>
    </row>
    <row r="112" spans="4:13" s="184" customFormat="1">
      <c r="D112" s="189"/>
      <c r="E112" s="189"/>
      <c r="F112" s="165"/>
      <c r="G112" s="186"/>
      <c r="M112" s="187"/>
    </row>
    <row r="113" spans="4:13" s="184" customFormat="1">
      <c r="D113" s="189"/>
      <c r="E113" s="189"/>
      <c r="F113" s="165"/>
      <c r="G113" s="186"/>
      <c r="M113" s="187"/>
    </row>
    <row r="114" spans="4:13" s="184" customFormat="1">
      <c r="D114" s="189"/>
      <c r="E114" s="189"/>
      <c r="F114" s="165"/>
      <c r="G114" s="186"/>
      <c r="M114" s="187"/>
    </row>
    <row r="115" spans="4:13" s="184" customFormat="1">
      <c r="D115" s="189"/>
      <c r="E115" s="189"/>
      <c r="F115" s="165"/>
      <c r="G115" s="186"/>
      <c r="M115" s="187"/>
    </row>
    <row r="116" spans="4:13" s="184" customFormat="1">
      <c r="D116" s="189"/>
      <c r="E116" s="189"/>
      <c r="F116" s="165"/>
      <c r="G116" s="186"/>
      <c r="M116" s="187"/>
    </row>
    <row r="117" spans="4:13" s="184" customFormat="1">
      <c r="D117" s="189"/>
      <c r="E117" s="189"/>
      <c r="F117" s="165"/>
      <c r="G117" s="186"/>
      <c r="M117" s="187"/>
    </row>
    <row r="118" spans="4:13" s="184" customFormat="1">
      <c r="D118" s="189"/>
      <c r="E118" s="189"/>
      <c r="F118" s="165"/>
      <c r="G118" s="186"/>
      <c r="M118" s="187"/>
    </row>
    <row r="119" spans="4:13" s="184" customFormat="1">
      <c r="D119" s="189"/>
      <c r="E119" s="189"/>
      <c r="F119" s="165"/>
      <c r="G119" s="186"/>
      <c r="M119" s="187"/>
    </row>
    <row r="120" spans="4:13" s="184" customFormat="1">
      <c r="D120" s="189"/>
      <c r="E120" s="189"/>
      <c r="F120" s="165"/>
      <c r="G120" s="186"/>
      <c r="M120" s="187"/>
    </row>
    <row r="121" spans="4:13" s="184" customFormat="1">
      <c r="D121" s="189"/>
      <c r="E121" s="189"/>
      <c r="F121" s="165"/>
      <c r="G121" s="186"/>
      <c r="M121" s="187"/>
    </row>
    <row r="122" spans="4:13" s="184" customFormat="1">
      <c r="D122" s="189"/>
      <c r="E122" s="189"/>
      <c r="F122" s="165"/>
      <c r="G122" s="186"/>
      <c r="M122" s="187"/>
    </row>
    <row r="123" spans="4:13" s="184" customFormat="1">
      <c r="D123" s="189"/>
      <c r="E123" s="189"/>
      <c r="F123" s="165"/>
      <c r="G123" s="186"/>
      <c r="M123" s="187"/>
    </row>
    <row r="124" spans="4:13" s="184" customFormat="1">
      <c r="D124" s="189"/>
      <c r="E124" s="189"/>
      <c r="F124" s="165"/>
      <c r="G124" s="186"/>
      <c r="M124" s="187"/>
    </row>
    <row r="125" spans="4:13" s="184" customFormat="1">
      <c r="D125" s="189"/>
      <c r="E125" s="189"/>
      <c r="F125" s="165"/>
      <c r="G125" s="186"/>
      <c r="M125" s="187"/>
    </row>
    <row r="126" spans="4:13" s="184" customFormat="1">
      <c r="D126" s="189"/>
      <c r="E126" s="189"/>
      <c r="F126" s="165"/>
      <c r="G126" s="186"/>
      <c r="M126" s="187"/>
    </row>
    <row r="127" spans="4:13" s="184" customFormat="1">
      <c r="D127" s="189"/>
      <c r="E127" s="189"/>
      <c r="F127" s="165"/>
      <c r="G127" s="186"/>
      <c r="M127" s="187"/>
    </row>
    <row r="128" spans="4:13" s="184" customFormat="1">
      <c r="D128" s="189"/>
      <c r="E128" s="189"/>
      <c r="F128" s="165"/>
      <c r="G128" s="186"/>
      <c r="M128" s="187"/>
    </row>
    <row r="129" spans="4:13" s="184" customFormat="1">
      <c r="D129" s="189"/>
      <c r="E129" s="189"/>
      <c r="F129" s="165"/>
      <c r="G129" s="186"/>
      <c r="M129" s="187"/>
    </row>
    <row r="130" spans="4:13" s="184" customFormat="1">
      <c r="D130" s="189"/>
      <c r="E130" s="189"/>
      <c r="F130" s="165"/>
      <c r="G130" s="186"/>
      <c r="M130" s="187"/>
    </row>
    <row r="131" spans="4:13" s="184" customFormat="1">
      <c r="D131" s="189"/>
      <c r="E131" s="189"/>
      <c r="F131" s="165"/>
      <c r="G131" s="186"/>
      <c r="M131" s="187"/>
    </row>
    <row r="132" spans="4:13" s="184" customFormat="1">
      <c r="D132" s="189"/>
      <c r="E132" s="189"/>
      <c r="F132" s="165"/>
      <c r="G132" s="186"/>
      <c r="M132" s="187"/>
    </row>
    <row r="133" spans="4:13" s="184" customFormat="1">
      <c r="D133" s="189"/>
      <c r="E133" s="189"/>
      <c r="F133" s="165"/>
      <c r="G133" s="186"/>
      <c r="M133" s="187"/>
    </row>
    <row r="134" spans="4:13" s="184" customFormat="1">
      <c r="D134" s="189"/>
      <c r="E134" s="189"/>
      <c r="F134" s="165"/>
      <c r="G134" s="186"/>
      <c r="M134" s="187"/>
    </row>
    <row r="135" spans="4:13" s="184" customFormat="1">
      <c r="D135" s="189"/>
      <c r="E135" s="189"/>
      <c r="F135" s="165"/>
      <c r="G135" s="186"/>
      <c r="M135" s="187"/>
    </row>
    <row r="136" spans="4:13" s="184" customFormat="1">
      <c r="D136" s="189"/>
      <c r="E136" s="189"/>
      <c r="F136" s="165"/>
      <c r="G136" s="186"/>
      <c r="M136" s="187"/>
    </row>
    <row r="137" spans="4:13" s="184" customFormat="1">
      <c r="D137" s="189"/>
      <c r="E137" s="189"/>
      <c r="F137" s="165"/>
      <c r="G137" s="186"/>
      <c r="M137" s="187"/>
    </row>
    <row r="138" spans="4:13" s="184" customFormat="1">
      <c r="D138" s="189"/>
      <c r="E138" s="189"/>
      <c r="F138" s="165"/>
      <c r="G138" s="186"/>
      <c r="M138" s="187"/>
    </row>
    <row r="139" spans="4:13" s="184" customFormat="1">
      <c r="D139" s="189"/>
      <c r="E139" s="189"/>
      <c r="F139" s="165"/>
      <c r="G139" s="186"/>
      <c r="M139" s="187"/>
    </row>
    <row r="140" spans="4:13" s="184" customFormat="1">
      <c r="D140" s="189"/>
      <c r="E140" s="189"/>
      <c r="F140" s="165"/>
      <c r="G140" s="186"/>
      <c r="M140" s="187"/>
    </row>
    <row r="141" spans="4:13" s="184" customFormat="1">
      <c r="D141" s="189"/>
      <c r="E141" s="189"/>
      <c r="F141" s="165"/>
      <c r="G141" s="186"/>
      <c r="M141" s="187"/>
    </row>
    <row r="142" spans="4:13" s="184" customFormat="1">
      <c r="D142" s="189"/>
      <c r="E142" s="189"/>
      <c r="F142" s="165"/>
      <c r="G142" s="186"/>
      <c r="M142" s="187"/>
    </row>
    <row r="143" spans="4:13" s="184" customFormat="1">
      <c r="D143" s="189"/>
      <c r="E143" s="189"/>
      <c r="F143" s="165"/>
      <c r="G143" s="186"/>
      <c r="M143" s="187"/>
    </row>
    <row r="144" spans="4:13" s="184" customFormat="1">
      <c r="D144" s="189"/>
      <c r="E144" s="189"/>
      <c r="F144" s="165"/>
      <c r="G144" s="186"/>
      <c r="M144" s="187"/>
    </row>
    <row r="145" spans="4:13" s="184" customFormat="1">
      <c r="D145" s="189"/>
      <c r="E145" s="189"/>
      <c r="F145" s="165"/>
      <c r="G145" s="186"/>
      <c r="M145" s="187"/>
    </row>
    <row r="146" spans="4:13" s="184" customFormat="1">
      <c r="D146" s="189"/>
      <c r="E146" s="189"/>
      <c r="F146" s="165"/>
      <c r="G146" s="186"/>
      <c r="M146" s="187"/>
    </row>
    <row r="147" spans="4:13" s="184" customFormat="1">
      <c r="D147" s="189"/>
      <c r="E147" s="189"/>
      <c r="F147" s="165"/>
      <c r="G147" s="186"/>
      <c r="M147" s="187"/>
    </row>
    <row r="148" spans="4:13" s="184" customFormat="1">
      <c r="D148" s="189"/>
      <c r="E148" s="189"/>
      <c r="F148" s="165"/>
      <c r="G148" s="186"/>
      <c r="M148" s="187"/>
    </row>
    <row r="149" spans="4:13" s="184" customFormat="1">
      <c r="D149" s="189"/>
      <c r="E149" s="189"/>
      <c r="F149" s="165"/>
      <c r="G149" s="186"/>
      <c r="M149" s="187"/>
    </row>
    <row r="150" spans="4:13" s="184" customFormat="1">
      <c r="D150" s="189"/>
      <c r="E150" s="189"/>
      <c r="F150" s="165"/>
      <c r="G150" s="186"/>
      <c r="M150" s="187"/>
    </row>
    <row r="151" spans="4:13" s="184" customFormat="1">
      <c r="D151" s="189"/>
      <c r="E151" s="189"/>
      <c r="F151" s="165"/>
      <c r="G151" s="186"/>
      <c r="M151" s="187"/>
    </row>
    <row r="152" spans="4:13" s="184" customFormat="1">
      <c r="D152" s="189"/>
      <c r="E152" s="189"/>
      <c r="F152" s="165"/>
      <c r="G152" s="186"/>
      <c r="M152" s="187"/>
    </row>
    <row r="153" spans="4:13" s="184" customFormat="1">
      <c r="D153" s="189"/>
      <c r="E153" s="189"/>
      <c r="F153" s="165"/>
      <c r="G153" s="186"/>
      <c r="M153" s="187"/>
    </row>
    <row r="154" spans="4:13" s="184" customFormat="1">
      <c r="D154" s="189"/>
      <c r="E154" s="189"/>
      <c r="F154" s="165"/>
      <c r="G154" s="186"/>
      <c r="M154" s="187"/>
    </row>
    <row r="155" spans="4:13" s="184" customFormat="1">
      <c r="D155" s="189"/>
      <c r="E155" s="189"/>
      <c r="F155" s="165"/>
      <c r="G155" s="186"/>
      <c r="M155" s="187"/>
    </row>
    <row r="156" spans="4:13" s="184" customFormat="1">
      <c r="D156" s="189"/>
      <c r="E156" s="189"/>
      <c r="F156" s="165"/>
      <c r="G156" s="186"/>
      <c r="M156" s="187"/>
    </row>
    <row r="157" spans="4:13" s="184" customFormat="1">
      <c r="D157" s="189"/>
      <c r="E157" s="189"/>
      <c r="F157" s="165"/>
      <c r="G157" s="186"/>
      <c r="M157" s="187"/>
    </row>
    <row r="158" spans="4:13" s="184" customFormat="1">
      <c r="D158" s="189"/>
      <c r="E158" s="189"/>
      <c r="F158" s="165"/>
      <c r="G158" s="186"/>
      <c r="M158" s="187"/>
    </row>
    <row r="159" spans="4:13" s="184" customFormat="1">
      <c r="D159" s="189"/>
      <c r="E159" s="189"/>
      <c r="F159" s="165"/>
      <c r="G159" s="186"/>
      <c r="M159" s="187"/>
    </row>
    <row r="160" spans="4:13" s="184" customFormat="1">
      <c r="D160" s="189"/>
      <c r="E160" s="189"/>
      <c r="F160" s="165"/>
      <c r="G160" s="186"/>
      <c r="M160" s="187"/>
    </row>
    <row r="161" spans="4:13" s="184" customFormat="1">
      <c r="D161" s="189"/>
      <c r="E161" s="189"/>
      <c r="F161" s="165"/>
      <c r="G161" s="186"/>
      <c r="M161" s="187"/>
    </row>
    <row r="162" spans="4:13" s="184" customFormat="1">
      <c r="D162" s="189"/>
      <c r="E162" s="189"/>
      <c r="F162" s="165"/>
      <c r="G162" s="186"/>
      <c r="M162" s="187"/>
    </row>
    <row r="163" spans="4:13" s="184" customFormat="1">
      <c r="D163" s="189"/>
      <c r="E163" s="189"/>
      <c r="F163" s="165"/>
      <c r="G163" s="186"/>
      <c r="M163" s="187"/>
    </row>
    <row r="164" spans="4:13" s="184" customFormat="1">
      <c r="D164" s="189"/>
      <c r="E164" s="189"/>
      <c r="F164" s="165"/>
      <c r="G164" s="186"/>
      <c r="M164" s="187"/>
    </row>
    <row r="165" spans="4:13" s="184" customFormat="1">
      <c r="D165" s="189"/>
      <c r="E165" s="189"/>
      <c r="F165" s="165"/>
      <c r="G165" s="186"/>
      <c r="M165" s="187"/>
    </row>
    <row r="166" spans="4:13" s="184" customFormat="1">
      <c r="D166" s="189"/>
      <c r="E166" s="189"/>
      <c r="F166" s="165"/>
      <c r="G166" s="186"/>
      <c r="M166" s="187"/>
    </row>
    <row r="167" spans="4:13" s="184" customFormat="1">
      <c r="D167" s="189"/>
      <c r="E167" s="189"/>
      <c r="F167" s="165"/>
      <c r="G167" s="186"/>
      <c r="M167" s="187"/>
    </row>
    <row r="168" spans="4:13" s="184" customFormat="1">
      <c r="D168" s="189"/>
      <c r="E168" s="189"/>
      <c r="F168" s="165"/>
      <c r="G168" s="186"/>
      <c r="M168" s="187"/>
    </row>
    <row r="169" spans="4:13" s="184" customFormat="1">
      <c r="D169" s="189"/>
      <c r="E169" s="189"/>
      <c r="F169" s="165"/>
      <c r="G169" s="186"/>
      <c r="M169" s="187"/>
    </row>
    <row r="170" spans="4:13" s="184" customFormat="1">
      <c r="D170" s="189"/>
      <c r="E170" s="189"/>
      <c r="F170" s="165"/>
      <c r="G170" s="186"/>
      <c r="M170" s="187"/>
    </row>
    <row r="171" spans="4:13" s="184" customFormat="1">
      <c r="D171" s="189"/>
      <c r="E171" s="189"/>
      <c r="F171" s="165"/>
      <c r="G171" s="186"/>
      <c r="M171" s="187"/>
    </row>
    <row r="172" spans="4:13" s="184" customFormat="1">
      <c r="D172" s="189"/>
      <c r="E172" s="189"/>
      <c r="F172" s="165"/>
      <c r="G172" s="186"/>
      <c r="M172" s="187"/>
    </row>
    <row r="173" spans="4:13" s="184" customFormat="1">
      <c r="D173" s="189"/>
      <c r="E173" s="189"/>
      <c r="F173" s="165"/>
      <c r="G173" s="186"/>
      <c r="M173" s="187"/>
    </row>
    <row r="174" spans="4:13" s="184" customFormat="1">
      <c r="D174" s="189"/>
      <c r="E174" s="189"/>
      <c r="F174" s="165"/>
      <c r="G174" s="186"/>
      <c r="M174" s="187"/>
    </row>
    <row r="175" spans="4:13" s="184" customFormat="1">
      <c r="D175" s="189"/>
      <c r="E175" s="189"/>
      <c r="F175" s="165"/>
      <c r="G175" s="186"/>
      <c r="M175" s="187"/>
    </row>
    <row r="176" spans="4:13" s="184" customFormat="1">
      <c r="D176" s="189"/>
      <c r="E176" s="189"/>
      <c r="F176" s="165"/>
      <c r="G176" s="186"/>
      <c r="M176" s="187"/>
    </row>
    <row r="177" spans="4:13" s="184" customFormat="1">
      <c r="D177" s="189"/>
      <c r="E177" s="189"/>
      <c r="F177" s="165"/>
      <c r="G177" s="186"/>
      <c r="M177" s="187"/>
    </row>
    <row r="178" spans="4:13" s="184" customFormat="1">
      <c r="D178" s="189"/>
      <c r="E178" s="189"/>
      <c r="F178" s="165"/>
      <c r="G178" s="186"/>
      <c r="M178" s="187"/>
    </row>
    <row r="179" spans="4:13" s="184" customFormat="1">
      <c r="D179" s="189"/>
      <c r="E179" s="189"/>
      <c r="F179" s="165"/>
      <c r="G179" s="186"/>
      <c r="M179" s="187"/>
    </row>
    <row r="180" spans="4:13" s="184" customFormat="1">
      <c r="D180" s="189"/>
      <c r="E180" s="189"/>
      <c r="F180" s="165"/>
      <c r="G180" s="186"/>
      <c r="M180" s="187"/>
    </row>
    <row r="181" spans="4:13" s="184" customFormat="1">
      <c r="D181" s="189"/>
      <c r="E181" s="189"/>
      <c r="F181" s="165"/>
      <c r="G181" s="186"/>
      <c r="M181" s="187"/>
    </row>
    <row r="182" spans="4:13" s="184" customFormat="1">
      <c r="D182" s="189"/>
      <c r="E182" s="189"/>
      <c r="F182" s="165"/>
      <c r="G182" s="186"/>
      <c r="M182" s="187"/>
    </row>
    <row r="183" spans="4:13" s="184" customFormat="1">
      <c r="D183" s="189"/>
      <c r="E183" s="189"/>
      <c r="F183" s="165"/>
      <c r="G183" s="186"/>
      <c r="M183" s="187"/>
    </row>
    <row r="184" spans="4:13" s="184" customFormat="1">
      <c r="D184" s="189"/>
      <c r="E184" s="189"/>
      <c r="F184" s="165"/>
      <c r="G184" s="186"/>
      <c r="M184" s="187"/>
    </row>
    <row r="185" spans="4:13" s="184" customFormat="1">
      <c r="D185" s="189"/>
      <c r="E185" s="189"/>
      <c r="F185" s="165"/>
      <c r="G185" s="186"/>
      <c r="M185" s="187"/>
    </row>
    <row r="186" spans="4:13" s="184" customFormat="1">
      <c r="D186" s="189"/>
      <c r="E186" s="189"/>
      <c r="F186" s="165"/>
      <c r="G186" s="186"/>
      <c r="M186" s="187"/>
    </row>
    <row r="187" spans="4:13" s="184" customFormat="1">
      <c r="D187" s="189"/>
      <c r="E187" s="189"/>
      <c r="F187" s="165"/>
      <c r="G187" s="186"/>
      <c r="M187" s="187"/>
    </row>
    <row r="188" spans="4:13" s="184" customFormat="1">
      <c r="D188" s="189"/>
      <c r="E188" s="189"/>
      <c r="F188" s="165"/>
      <c r="G188" s="186"/>
      <c r="M188" s="187"/>
    </row>
    <row r="189" spans="4:13" s="184" customFormat="1">
      <c r="D189" s="189"/>
      <c r="E189" s="189"/>
      <c r="F189" s="165"/>
      <c r="G189" s="186"/>
      <c r="M189" s="187"/>
    </row>
    <row r="190" spans="4:13" s="184" customFormat="1">
      <c r="D190" s="189"/>
      <c r="E190" s="189"/>
      <c r="F190" s="165"/>
      <c r="G190" s="186"/>
      <c r="M190" s="187"/>
    </row>
    <row r="191" spans="4:13" s="184" customFormat="1">
      <c r="D191" s="189"/>
      <c r="E191" s="189"/>
      <c r="F191" s="165"/>
      <c r="G191" s="186"/>
      <c r="M191" s="187"/>
    </row>
    <row r="192" spans="4:13" s="184" customFormat="1">
      <c r="D192" s="189"/>
      <c r="E192" s="189"/>
      <c r="F192" s="165"/>
      <c r="G192" s="186"/>
      <c r="M192" s="187"/>
    </row>
    <row r="193" spans="4:13" s="184" customFormat="1">
      <c r="D193" s="189"/>
      <c r="E193" s="189"/>
      <c r="F193" s="165"/>
      <c r="G193" s="186"/>
      <c r="M193" s="187"/>
    </row>
    <row r="194" spans="4:13" s="184" customFormat="1">
      <c r="D194" s="189"/>
      <c r="E194" s="189"/>
      <c r="F194" s="165"/>
      <c r="G194" s="186"/>
      <c r="M194" s="187"/>
    </row>
    <row r="195" spans="4:13" s="184" customFormat="1">
      <c r="D195" s="189"/>
      <c r="E195" s="189"/>
      <c r="F195" s="165"/>
      <c r="G195" s="186"/>
      <c r="M195" s="187"/>
    </row>
    <row r="196" spans="4:13" s="184" customFormat="1">
      <c r="D196" s="189"/>
      <c r="E196" s="189"/>
      <c r="F196" s="165"/>
      <c r="G196" s="186"/>
      <c r="M196" s="187"/>
    </row>
    <row r="197" spans="4:13" s="184" customFormat="1">
      <c r="D197" s="189"/>
      <c r="E197" s="189"/>
      <c r="F197" s="165"/>
      <c r="G197" s="186"/>
      <c r="M197" s="187"/>
    </row>
    <row r="198" spans="4:13" s="184" customFormat="1">
      <c r="D198" s="189"/>
      <c r="E198" s="189"/>
      <c r="F198" s="165"/>
      <c r="G198" s="186"/>
      <c r="M198" s="187"/>
    </row>
    <row r="199" spans="4:13" s="184" customFormat="1">
      <c r="D199" s="189"/>
      <c r="E199" s="189"/>
      <c r="F199" s="165"/>
      <c r="G199" s="186"/>
      <c r="M199" s="187"/>
    </row>
    <row r="200" spans="4:13" s="184" customFormat="1">
      <c r="D200" s="189"/>
      <c r="E200" s="189"/>
      <c r="F200" s="165"/>
      <c r="G200" s="186"/>
      <c r="M200" s="187"/>
    </row>
    <row r="201" spans="4:13" s="184" customFormat="1">
      <c r="D201" s="189"/>
      <c r="E201" s="189"/>
      <c r="F201" s="165"/>
      <c r="G201" s="186"/>
      <c r="M201" s="187"/>
    </row>
    <row r="202" spans="4:13" s="184" customFormat="1">
      <c r="D202" s="189"/>
      <c r="E202" s="189"/>
      <c r="F202" s="165"/>
      <c r="G202" s="186"/>
      <c r="M202" s="187"/>
    </row>
    <row r="203" spans="4:13" s="184" customFormat="1">
      <c r="D203" s="189"/>
      <c r="E203" s="189"/>
      <c r="F203" s="165"/>
      <c r="G203" s="186"/>
      <c r="M203" s="187"/>
    </row>
    <row r="204" spans="4:13" s="184" customFormat="1">
      <c r="D204" s="189"/>
      <c r="E204" s="189"/>
      <c r="F204" s="165"/>
      <c r="G204" s="186"/>
      <c r="M204" s="187"/>
    </row>
    <row r="205" spans="4:13" s="184" customFormat="1">
      <c r="D205" s="189"/>
      <c r="E205" s="189"/>
      <c r="F205" s="165"/>
      <c r="G205" s="186"/>
      <c r="M205" s="187"/>
    </row>
    <row r="206" spans="4:13" s="184" customFormat="1">
      <c r="D206" s="189"/>
      <c r="E206" s="189"/>
      <c r="F206" s="165"/>
      <c r="G206" s="186"/>
      <c r="M206" s="187"/>
    </row>
    <row r="207" spans="4:13" s="184" customFormat="1">
      <c r="D207" s="189"/>
      <c r="E207" s="189"/>
      <c r="F207" s="165"/>
      <c r="G207" s="186"/>
      <c r="M207" s="187"/>
    </row>
    <row r="208" spans="4:13" s="184" customFormat="1">
      <c r="D208" s="189"/>
      <c r="E208" s="189"/>
      <c r="F208" s="165"/>
      <c r="G208" s="186"/>
      <c r="M208" s="187"/>
    </row>
    <row r="209" spans="4:13" s="184" customFormat="1">
      <c r="D209" s="189"/>
      <c r="E209" s="189"/>
      <c r="F209" s="165"/>
      <c r="G209" s="186"/>
      <c r="M209" s="187"/>
    </row>
    <row r="210" spans="4:13" s="184" customFormat="1">
      <c r="D210" s="189"/>
      <c r="E210" s="189"/>
      <c r="F210" s="165"/>
      <c r="G210" s="186"/>
      <c r="M210" s="187"/>
    </row>
    <row r="211" spans="4:13" s="184" customFormat="1">
      <c r="D211" s="189"/>
      <c r="E211" s="189"/>
      <c r="F211" s="165"/>
      <c r="G211" s="186"/>
      <c r="M211" s="187"/>
    </row>
    <row r="212" spans="4:13" s="184" customFormat="1">
      <c r="D212" s="189"/>
      <c r="E212" s="189"/>
      <c r="F212" s="165"/>
      <c r="G212" s="186"/>
      <c r="M212" s="187"/>
    </row>
    <row r="213" spans="4:13" s="184" customFormat="1">
      <c r="D213" s="189"/>
      <c r="E213" s="189"/>
      <c r="F213" s="165"/>
      <c r="G213" s="186"/>
      <c r="M213" s="187"/>
    </row>
    <row r="214" spans="4:13" s="184" customFormat="1">
      <c r="D214" s="189"/>
      <c r="E214" s="189"/>
      <c r="F214" s="165"/>
      <c r="G214" s="186"/>
      <c r="M214" s="187"/>
    </row>
    <row r="215" spans="4:13" s="184" customFormat="1">
      <c r="D215" s="189"/>
      <c r="E215" s="189"/>
      <c r="F215" s="165"/>
      <c r="G215" s="186"/>
      <c r="M215" s="187"/>
    </row>
    <row r="216" spans="4:13" s="184" customFormat="1">
      <c r="D216" s="189"/>
      <c r="E216" s="189"/>
      <c r="F216" s="165"/>
      <c r="G216" s="186"/>
      <c r="M216" s="187"/>
    </row>
    <row r="217" spans="4:13" s="184" customFormat="1">
      <c r="D217" s="189"/>
      <c r="E217" s="189"/>
      <c r="F217" s="165"/>
      <c r="G217" s="186"/>
      <c r="M217" s="187"/>
    </row>
    <row r="218" spans="4:13" s="184" customFormat="1">
      <c r="D218" s="189"/>
      <c r="E218" s="189"/>
      <c r="F218" s="165"/>
      <c r="G218" s="186"/>
      <c r="M218" s="187"/>
    </row>
    <row r="219" spans="4:13" s="184" customFormat="1">
      <c r="D219" s="189"/>
      <c r="E219" s="189"/>
      <c r="F219" s="165"/>
      <c r="G219" s="186"/>
      <c r="M219" s="187"/>
    </row>
    <row r="220" spans="4:13" s="184" customFormat="1">
      <c r="D220" s="189"/>
      <c r="E220" s="189"/>
      <c r="F220" s="165"/>
      <c r="G220" s="186"/>
      <c r="M220" s="187"/>
    </row>
    <row r="221" spans="4:13" s="184" customFormat="1">
      <c r="D221" s="189"/>
      <c r="E221" s="189"/>
      <c r="F221" s="165"/>
      <c r="G221" s="186"/>
      <c r="M221" s="187"/>
    </row>
    <row r="222" spans="4:13" s="184" customFormat="1">
      <c r="D222" s="189"/>
      <c r="E222" s="189"/>
      <c r="F222" s="165"/>
      <c r="G222" s="186"/>
      <c r="M222" s="187"/>
    </row>
    <row r="223" spans="4:13" s="184" customFormat="1">
      <c r="D223" s="189"/>
      <c r="E223" s="189"/>
      <c r="F223" s="165"/>
      <c r="G223" s="186"/>
      <c r="M223" s="187"/>
    </row>
    <row r="224" spans="4:13" s="184" customFormat="1">
      <c r="D224" s="189"/>
      <c r="E224" s="189"/>
      <c r="F224" s="165"/>
      <c r="G224" s="186"/>
      <c r="M224" s="187"/>
    </row>
    <row r="225" spans="4:13" s="184" customFormat="1">
      <c r="D225" s="189"/>
      <c r="E225" s="189"/>
      <c r="F225" s="165"/>
      <c r="G225" s="186"/>
      <c r="M225" s="187"/>
    </row>
    <row r="226" spans="4:13" s="184" customFormat="1">
      <c r="D226" s="189"/>
      <c r="E226" s="189"/>
      <c r="F226" s="165"/>
      <c r="G226" s="186"/>
      <c r="M226" s="187"/>
    </row>
    <row r="227" spans="4:13" s="184" customFormat="1">
      <c r="D227" s="189"/>
      <c r="E227" s="189"/>
      <c r="F227" s="165"/>
      <c r="G227" s="186"/>
      <c r="M227" s="187"/>
    </row>
    <row r="228" spans="4:13" s="184" customFormat="1">
      <c r="D228" s="189"/>
      <c r="E228" s="189"/>
      <c r="F228" s="165"/>
      <c r="G228" s="186"/>
      <c r="M228" s="187"/>
    </row>
    <row r="229" spans="4:13" s="184" customFormat="1">
      <c r="D229" s="189"/>
      <c r="E229" s="189"/>
      <c r="F229" s="165"/>
      <c r="G229" s="186"/>
      <c r="M229" s="187"/>
    </row>
    <row r="230" spans="4:13" s="184" customFormat="1">
      <c r="D230" s="189"/>
      <c r="E230" s="189"/>
      <c r="F230" s="165"/>
      <c r="G230" s="186"/>
      <c r="M230" s="187"/>
    </row>
    <row r="231" spans="4:13" s="184" customFormat="1">
      <c r="D231" s="189"/>
      <c r="E231" s="189"/>
      <c r="F231" s="165"/>
      <c r="G231" s="186"/>
      <c r="M231" s="187"/>
    </row>
    <row r="232" spans="4:13" s="184" customFormat="1">
      <c r="D232" s="189"/>
      <c r="E232" s="189"/>
      <c r="F232" s="165"/>
      <c r="G232" s="186"/>
      <c r="M232" s="187"/>
    </row>
    <row r="233" spans="4:13" s="184" customFormat="1">
      <c r="D233" s="189"/>
      <c r="E233" s="189"/>
      <c r="F233" s="165"/>
      <c r="G233" s="186"/>
      <c r="M233" s="187"/>
    </row>
    <row r="234" spans="4:13" s="184" customFormat="1">
      <c r="D234" s="189"/>
      <c r="E234" s="189"/>
      <c r="F234" s="165"/>
      <c r="G234" s="186"/>
      <c r="M234" s="187"/>
    </row>
    <row r="235" spans="4:13" s="184" customFormat="1">
      <c r="D235" s="189"/>
      <c r="E235" s="189"/>
      <c r="F235" s="165"/>
      <c r="G235" s="186"/>
      <c r="M235" s="187"/>
    </row>
    <row r="236" spans="4:13" s="184" customFormat="1">
      <c r="D236" s="189"/>
      <c r="E236" s="189"/>
      <c r="F236" s="165"/>
      <c r="G236" s="186"/>
      <c r="M236" s="187"/>
    </row>
    <row r="237" spans="4:13" s="184" customFormat="1">
      <c r="D237" s="189"/>
      <c r="E237" s="189"/>
      <c r="F237" s="165"/>
      <c r="G237" s="186"/>
      <c r="M237" s="187"/>
    </row>
    <row r="238" spans="4:13" s="184" customFormat="1">
      <c r="D238" s="189"/>
      <c r="E238" s="189"/>
      <c r="F238" s="165"/>
      <c r="G238" s="186"/>
      <c r="M238" s="187"/>
    </row>
    <row r="239" spans="4:13" s="184" customFormat="1">
      <c r="D239" s="189"/>
      <c r="E239" s="189"/>
      <c r="F239" s="165"/>
      <c r="G239" s="186"/>
      <c r="M239" s="187"/>
    </row>
    <row r="240" spans="4:13" s="184" customFormat="1">
      <c r="D240" s="189"/>
      <c r="E240" s="189"/>
      <c r="F240" s="165"/>
      <c r="G240" s="186"/>
      <c r="M240" s="187"/>
    </row>
    <row r="241" spans="4:13" s="184" customFormat="1">
      <c r="D241" s="189"/>
      <c r="E241" s="189"/>
      <c r="F241" s="165"/>
      <c r="G241" s="186"/>
      <c r="M241" s="187"/>
    </row>
    <row r="242" spans="4:13" s="184" customFormat="1">
      <c r="D242" s="189"/>
      <c r="E242" s="189"/>
      <c r="F242" s="165"/>
      <c r="G242" s="186"/>
      <c r="M242" s="187"/>
    </row>
    <row r="243" spans="4:13" s="184" customFormat="1">
      <c r="D243" s="189"/>
      <c r="E243" s="189"/>
      <c r="F243" s="165"/>
      <c r="G243" s="186"/>
      <c r="M243" s="187"/>
    </row>
    <row r="244" spans="4:13" s="184" customFormat="1">
      <c r="D244" s="189"/>
      <c r="E244" s="189"/>
      <c r="F244" s="165"/>
      <c r="G244" s="186"/>
      <c r="M244" s="187"/>
    </row>
    <row r="245" spans="4:13" s="184" customFormat="1">
      <c r="D245" s="189"/>
      <c r="E245" s="189"/>
      <c r="F245" s="165"/>
      <c r="G245" s="186"/>
      <c r="M245" s="187"/>
    </row>
    <row r="246" spans="4:13" s="184" customFormat="1">
      <c r="D246" s="189"/>
      <c r="E246" s="189"/>
      <c r="F246" s="165"/>
      <c r="G246" s="186"/>
      <c r="M246" s="187"/>
    </row>
    <row r="247" spans="4:13" s="184" customFormat="1">
      <c r="D247" s="189"/>
      <c r="E247" s="189"/>
      <c r="F247" s="165"/>
      <c r="G247" s="186"/>
      <c r="M247" s="187"/>
    </row>
    <row r="248" spans="4:13" s="184" customFormat="1">
      <c r="D248" s="189"/>
      <c r="E248" s="189"/>
      <c r="F248" s="165"/>
      <c r="G248" s="186"/>
      <c r="M248" s="187"/>
    </row>
    <row r="249" spans="4:13" s="184" customFormat="1">
      <c r="D249" s="189"/>
      <c r="E249" s="189"/>
      <c r="F249" s="165"/>
      <c r="G249" s="186"/>
      <c r="M249" s="187"/>
    </row>
    <row r="250" spans="4:13" s="184" customFormat="1">
      <c r="D250" s="189"/>
      <c r="E250" s="189"/>
      <c r="F250" s="165"/>
      <c r="G250" s="186"/>
      <c r="M250" s="187"/>
    </row>
    <row r="251" spans="4:13" s="184" customFormat="1">
      <c r="D251" s="189"/>
      <c r="E251" s="189"/>
      <c r="F251" s="165"/>
      <c r="G251" s="186"/>
      <c r="M251" s="187"/>
    </row>
    <row r="252" spans="4:13" s="184" customFormat="1">
      <c r="D252" s="189"/>
      <c r="E252" s="189"/>
      <c r="F252" s="165"/>
      <c r="G252" s="186"/>
      <c r="M252" s="187"/>
    </row>
    <row r="253" spans="4:13" s="184" customFormat="1">
      <c r="D253" s="189"/>
      <c r="E253" s="189"/>
      <c r="F253" s="165"/>
      <c r="G253" s="186"/>
      <c r="M253" s="187"/>
    </row>
    <row r="254" spans="4:13" s="184" customFormat="1">
      <c r="D254" s="189"/>
      <c r="E254" s="189"/>
      <c r="F254" s="165"/>
      <c r="G254" s="186"/>
      <c r="M254" s="187"/>
    </row>
    <row r="255" spans="4:13" s="184" customFormat="1">
      <c r="D255" s="189"/>
      <c r="E255" s="189"/>
      <c r="F255" s="165"/>
      <c r="G255" s="186"/>
      <c r="M255" s="187"/>
    </row>
    <row r="256" spans="4:13" s="184" customFormat="1">
      <c r="D256" s="189"/>
      <c r="E256" s="189"/>
      <c r="F256" s="165"/>
      <c r="G256" s="186"/>
      <c r="M256" s="187"/>
    </row>
    <row r="257" spans="4:13" s="184" customFormat="1">
      <c r="D257" s="189"/>
      <c r="E257" s="189"/>
      <c r="F257" s="165"/>
      <c r="G257" s="186"/>
      <c r="M257" s="187"/>
    </row>
    <row r="258" spans="4:13" s="184" customFormat="1">
      <c r="D258" s="189"/>
      <c r="E258" s="189"/>
      <c r="F258" s="165"/>
      <c r="G258" s="186"/>
      <c r="M258" s="187"/>
    </row>
    <row r="259" spans="4:13" s="184" customFormat="1">
      <c r="D259" s="189"/>
      <c r="E259" s="189"/>
      <c r="F259" s="165"/>
      <c r="G259" s="186"/>
      <c r="M259" s="187"/>
    </row>
    <row r="260" spans="4:13" s="184" customFormat="1">
      <c r="D260" s="189"/>
      <c r="E260" s="189"/>
      <c r="F260" s="165"/>
      <c r="G260" s="186"/>
      <c r="M260" s="187"/>
    </row>
    <row r="261" spans="4:13" s="184" customFormat="1">
      <c r="D261" s="189"/>
      <c r="E261" s="189"/>
      <c r="F261" s="165"/>
      <c r="G261" s="186"/>
      <c r="M261" s="187"/>
    </row>
    <row r="262" spans="4:13" s="184" customFormat="1">
      <c r="D262" s="189"/>
      <c r="E262" s="189"/>
      <c r="F262" s="165"/>
      <c r="G262" s="186"/>
      <c r="M262" s="187"/>
    </row>
    <row r="263" spans="4:13" s="184" customFormat="1">
      <c r="D263" s="189"/>
      <c r="E263" s="189"/>
      <c r="F263" s="165"/>
      <c r="G263" s="186"/>
      <c r="M263" s="187"/>
    </row>
    <row r="264" spans="4:13" s="184" customFormat="1">
      <c r="D264" s="189"/>
      <c r="E264" s="189"/>
      <c r="F264" s="165"/>
      <c r="G264" s="186"/>
      <c r="M264" s="187"/>
    </row>
    <row r="265" spans="4:13" s="184" customFormat="1">
      <c r="D265" s="189"/>
      <c r="E265" s="189"/>
      <c r="F265" s="165"/>
      <c r="G265" s="186"/>
      <c r="M265" s="187"/>
    </row>
    <row r="266" spans="4:13" s="184" customFormat="1">
      <c r="D266" s="189"/>
      <c r="E266" s="189"/>
      <c r="F266" s="165"/>
      <c r="G266" s="186"/>
      <c r="M266" s="187"/>
    </row>
    <row r="267" spans="4:13" s="184" customFormat="1">
      <c r="D267" s="189"/>
      <c r="E267" s="189"/>
      <c r="F267" s="165"/>
      <c r="G267" s="186"/>
      <c r="M267" s="187"/>
    </row>
    <row r="268" spans="4:13" s="184" customFormat="1">
      <c r="D268" s="189"/>
      <c r="E268" s="189"/>
      <c r="F268" s="165"/>
      <c r="G268" s="186"/>
      <c r="M268" s="187"/>
    </row>
    <row r="269" spans="4:13" s="184" customFormat="1">
      <c r="D269" s="189"/>
      <c r="E269" s="189"/>
      <c r="F269" s="165"/>
      <c r="G269" s="186"/>
      <c r="M269" s="187"/>
    </row>
    <row r="270" spans="4:13" s="184" customFormat="1">
      <c r="D270" s="189"/>
      <c r="E270" s="189"/>
      <c r="F270" s="165"/>
      <c r="G270" s="186"/>
      <c r="M270" s="187"/>
    </row>
    <row r="271" spans="4:13" s="184" customFormat="1">
      <c r="D271" s="189"/>
      <c r="E271" s="189"/>
      <c r="F271" s="165"/>
      <c r="G271" s="186"/>
      <c r="M271" s="187"/>
    </row>
    <row r="272" spans="4:13" s="184" customFormat="1">
      <c r="D272" s="189"/>
      <c r="E272" s="189"/>
      <c r="F272" s="165"/>
      <c r="G272" s="186"/>
      <c r="M272" s="187"/>
    </row>
    <row r="273" spans="4:13" s="184" customFormat="1">
      <c r="D273" s="189"/>
      <c r="E273" s="189"/>
      <c r="F273" s="165"/>
      <c r="G273" s="186"/>
      <c r="M273" s="187"/>
    </row>
    <row r="274" spans="4:13" s="184" customFormat="1">
      <c r="D274" s="189"/>
      <c r="E274" s="189"/>
      <c r="F274" s="165"/>
      <c r="G274" s="186"/>
      <c r="M274" s="187"/>
    </row>
    <row r="275" spans="4:13" s="184" customFormat="1">
      <c r="D275" s="189"/>
      <c r="E275" s="189"/>
      <c r="F275" s="165"/>
      <c r="G275" s="186"/>
      <c r="M275" s="187"/>
    </row>
    <row r="276" spans="4:13" s="184" customFormat="1">
      <c r="D276" s="189"/>
      <c r="E276" s="189"/>
      <c r="F276" s="165"/>
      <c r="G276" s="186"/>
      <c r="M276" s="187"/>
    </row>
    <row r="277" spans="4:13" s="184" customFormat="1">
      <c r="D277" s="189"/>
      <c r="E277" s="189"/>
      <c r="F277" s="165"/>
      <c r="G277" s="186"/>
      <c r="M277" s="187"/>
    </row>
    <row r="278" spans="4:13" s="184" customFormat="1">
      <c r="D278" s="189"/>
      <c r="E278" s="189"/>
      <c r="F278" s="165"/>
      <c r="G278" s="186"/>
      <c r="M278" s="187"/>
    </row>
    <row r="279" spans="4:13" s="184" customFormat="1">
      <c r="D279" s="189"/>
      <c r="E279" s="189"/>
      <c r="F279" s="165"/>
      <c r="G279" s="186"/>
      <c r="M279" s="187"/>
    </row>
    <row r="280" spans="4:13" s="184" customFormat="1">
      <c r="D280" s="189"/>
      <c r="E280" s="189"/>
      <c r="F280" s="165"/>
      <c r="G280" s="186"/>
      <c r="M280" s="187"/>
    </row>
    <row r="281" spans="4:13" s="184" customFormat="1">
      <c r="D281" s="189"/>
      <c r="E281" s="189"/>
      <c r="F281" s="165"/>
      <c r="G281" s="186"/>
      <c r="M281" s="187"/>
    </row>
    <row r="282" spans="4:13" s="184" customFormat="1">
      <c r="D282" s="189"/>
      <c r="E282" s="189"/>
      <c r="F282" s="165"/>
      <c r="G282" s="186"/>
      <c r="M282" s="187"/>
    </row>
    <row r="283" spans="4:13" s="184" customFormat="1">
      <c r="D283" s="189"/>
      <c r="E283" s="189"/>
      <c r="F283" s="165"/>
      <c r="G283" s="186"/>
      <c r="M283" s="187"/>
    </row>
    <row r="284" spans="4:13" s="184" customFormat="1">
      <c r="D284" s="189"/>
      <c r="E284" s="189"/>
      <c r="F284" s="165"/>
      <c r="G284" s="186"/>
      <c r="M284" s="187"/>
    </row>
    <row r="285" spans="4:13" s="184" customFormat="1">
      <c r="D285" s="189"/>
      <c r="E285" s="189"/>
      <c r="F285" s="165"/>
      <c r="G285" s="186"/>
      <c r="M285" s="187"/>
    </row>
    <row r="286" spans="4:13" s="184" customFormat="1">
      <c r="D286" s="189"/>
      <c r="E286" s="189"/>
      <c r="F286" s="165"/>
      <c r="G286" s="186"/>
      <c r="M286" s="187"/>
    </row>
    <row r="287" spans="4:13" s="184" customFormat="1">
      <c r="D287" s="189"/>
      <c r="E287" s="189"/>
      <c r="F287" s="165"/>
      <c r="G287" s="186"/>
      <c r="M287" s="187"/>
    </row>
    <row r="288" spans="4:13" s="184" customFormat="1">
      <c r="D288" s="189"/>
      <c r="E288" s="189"/>
      <c r="F288" s="165"/>
      <c r="G288" s="186"/>
      <c r="M288" s="187"/>
    </row>
    <row r="289" spans="4:13" s="184" customFormat="1">
      <c r="D289" s="189"/>
      <c r="E289" s="189"/>
      <c r="F289" s="165"/>
      <c r="G289" s="186"/>
      <c r="M289" s="187"/>
    </row>
    <row r="290" spans="4:13" s="184" customFormat="1">
      <c r="D290" s="189"/>
      <c r="E290" s="189"/>
      <c r="F290" s="165"/>
      <c r="G290" s="186"/>
      <c r="M290" s="187"/>
    </row>
    <row r="291" spans="4:13" s="184" customFormat="1">
      <c r="D291" s="189"/>
      <c r="E291" s="189"/>
      <c r="F291" s="165"/>
      <c r="G291" s="186"/>
      <c r="M291" s="187"/>
    </row>
    <row r="292" spans="4:13" s="184" customFormat="1">
      <c r="D292" s="189"/>
      <c r="E292" s="189"/>
      <c r="F292" s="165"/>
      <c r="G292" s="186"/>
      <c r="M292" s="187"/>
    </row>
    <row r="293" spans="4:13" s="184" customFormat="1">
      <c r="D293" s="189"/>
      <c r="E293" s="189"/>
      <c r="F293" s="165"/>
      <c r="G293" s="186"/>
      <c r="M293" s="187"/>
    </row>
    <row r="294" spans="4:13" s="184" customFormat="1">
      <c r="D294" s="189"/>
      <c r="E294" s="189"/>
      <c r="F294" s="165"/>
      <c r="G294" s="186"/>
      <c r="M294" s="187"/>
    </row>
    <row r="295" spans="4:13" s="184" customFormat="1">
      <c r="D295" s="189"/>
      <c r="E295" s="189"/>
      <c r="F295" s="165"/>
      <c r="G295" s="186"/>
      <c r="M295" s="187"/>
    </row>
    <row r="296" spans="4:13" s="184" customFormat="1">
      <c r="D296" s="189"/>
      <c r="E296" s="189"/>
      <c r="F296" s="165"/>
      <c r="G296" s="186"/>
      <c r="M296" s="187"/>
    </row>
    <row r="297" spans="4:13" s="184" customFormat="1">
      <c r="D297" s="189"/>
      <c r="E297" s="189"/>
      <c r="F297" s="165"/>
      <c r="G297" s="186"/>
      <c r="M297" s="187"/>
    </row>
    <row r="298" spans="4:13" s="184" customFormat="1">
      <c r="D298" s="189"/>
      <c r="E298" s="189"/>
      <c r="F298" s="165"/>
      <c r="G298" s="186"/>
      <c r="M298" s="187"/>
    </row>
    <row r="299" spans="4:13" s="184" customFormat="1">
      <c r="D299" s="189"/>
      <c r="E299" s="189"/>
      <c r="F299" s="165"/>
      <c r="G299" s="186"/>
      <c r="M299" s="187"/>
    </row>
    <row r="300" spans="4:13" s="184" customFormat="1">
      <c r="D300" s="189"/>
      <c r="E300" s="189"/>
      <c r="F300" s="165"/>
      <c r="G300" s="186"/>
      <c r="M300" s="187"/>
    </row>
    <row r="301" spans="4:13" s="184" customFormat="1">
      <c r="D301" s="189"/>
      <c r="E301" s="189"/>
      <c r="F301" s="165"/>
      <c r="G301" s="186"/>
      <c r="M301" s="187"/>
    </row>
    <row r="302" spans="4:13" s="184" customFormat="1">
      <c r="D302" s="189"/>
      <c r="E302" s="189"/>
      <c r="F302" s="165"/>
      <c r="G302" s="186"/>
      <c r="M302" s="187"/>
    </row>
    <row r="303" spans="4:13" s="184" customFormat="1">
      <c r="D303" s="189"/>
      <c r="E303" s="189"/>
      <c r="F303" s="165"/>
      <c r="G303" s="186"/>
      <c r="M303" s="187"/>
    </row>
    <row r="304" spans="4:13" s="184" customFormat="1">
      <c r="D304" s="189"/>
      <c r="E304" s="189"/>
      <c r="F304" s="165"/>
      <c r="G304" s="186"/>
      <c r="M304" s="187"/>
    </row>
    <row r="305" spans="4:13" s="184" customFormat="1">
      <c r="D305" s="189"/>
      <c r="E305" s="189"/>
      <c r="F305" s="165"/>
      <c r="G305" s="186"/>
      <c r="M305" s="187"/>
    </row>
    <row r="306" spans="4:13" s="184" customFormat="1">
      <c r="D306" s="189"/>
      <c r="E306" s="189"/>
      <c r="F306" s="165"/>
      <c r="G306" s="186"/>
      <c r="M306" s="187"/>
    </row>
    <row r="307" spans="4:13" s="184" customFormat="1">
      <c r="D307" s="189"/>
      <c r="E307" s="189"/>
      <c r="F307" s="165"/>
      <c r="G307" s="186"/>
      <c r="M307" s="187"/>
    </row>
    <row r="308" spans="4:13" s="184" customFormat="1">
      <c r="D308" s="189"/>
      <c r="E308" s="189"/>
      <c r="F308" s="165"/>
      <c r="G308" s="186"/>
      <c r="M308" s="187"/>
    </row>
    <row r="309" spans="4:13" s="184" customFormat="1">
      <c r="D309" s="189"/>
      <c r="E309" s="189"/>
      <c r="F309" s="165"/>
      <c r="G309" s="186"/>
      <c r="M309" s="187"/>
    </row>
    <row r="310" spans="4:13" s="184" customFormat="1">
      <c r="D310" s="189"/>
      <c r="E310" s="189"/>
      <c r="F310" s="165"/>
      <c r="G310" s="186"/>
      <c r="M310" s="187"/>
    </row>
    <row r="311" spans="4:13" s="184" customFormat="1">
      <c r="D311" s="189"/>
      <c r="E311" s="189"/>
      <c r="F311" s="165"/>
      <c r="G311" s="186"/>
      <c r="M311" s="187"/>
    </row>
    <row r="312" spans="4:13" s="184" customFormat="1">
      <c r="D312" s="189"/>
      <c r="E312" s="189"/>
      <c r="F312" s="165"/>
      <c r="G312" s="186"/>
      <c r="M312" s="187"/>
    </row>
    <row r="313" spans="4:13" s="184" customFormat="1">
      <c r="D313" s="189"/>
      <c r="E313" s="189"/>
      <c r="F313" s="165"/>
      <c r="G313" s="186"/>
      <c r="M313" s="187"/>
    </row>
    <row r="314" spans="4:13" s="184" customFormat="1">
      <c r="D314" s="189"/>
      <c r="E314" s="189"/>
      <c r="F314" s="165"/>
      <c r="G314" s="186"/>
      <c r="M314" s="187"/>
    </row>
    <row r="315" spans="4:13" s="184" customFormat="1">
      <c r="D315" s="189"/>
      <c r="E315" s="189"/>
      <c r="F315" s="165"/>
      <c r="G315" s="186"/>
      <c r="M315" s="187"/>
    </row>
    <row r="316" spans="4:13" s="184" customFormat="1">
      <c r="D316" s="189"/>
      <c r="E316" s="189"/>
      <c r="F316" s="165"/>
      <c r="G316" s="186"/>
      <c r="M316" s="187"/>
    </row>
    <row r="317" spans="4:13" s="184" customFormat="1">
      <c r="D317" s="189"/>
      <c r="E317" s="189"/>
      <c r="F317" s="165"/>
      <c r="G317" s="186"/>
      <c r="M317" s="187"/>
    </row>
    <row r="318" spans="4:13" s="184" customFormat="1">
      <c r="D318" s="189"/>
      <c r="E318" s="189"/>
      <c r="F318" s="165"/>
      <c r="G318" s="186"/>
      <c r="M318" s="187"/>
    </row>
    <row r="319" spans="4:13" s="184" customFormat="1">
      <c r="D319" s="189"/>
      <c r="E319" s="189"/>
      <c r="F319" s="165"/>
      <c r="G319" s="186"/>
      <c r="M319" s="187"/>
    </row>
    <row r="320" spans="4:13" s="184" customFormat="1">
      <c r="D320" s="189"/>
      <c r="E320" s="189"/>
      <c r="F320" s="165"/>
      <c r="G320" s="186"/>
      <c r="M320" s="187"/>
    </row>
    <row r="321" spans="4:13" s="184" customFormat="1">
      <c r="D321" s="189"/>
      <c r="E321" s="189"/>
      <c r="F321" s="165"/>
      <c r="G321" s="186"/>
      <c r="M321" s="187"/>
    </row>
    <row r="322" spans="4:13" s="184" customFormat="1">
      <c r="D322" s="189"/>
      <c r="E322" s="189"/>
      <c r="F322" s="165"/>
      <c r="G322" s="186"/>
      <c r="M322" s="187"/>
    </row>
    <row r="323" spans="4:13" s="184" customFormat="1">
      <c r="D323" s="189"/>
      <c r="E323" s="189"/>
      <c r="F323" s="165"/>
      <c r="G323" s="186"/>
      <c r="M323" s="187"/>
    </row>
    <row r="324" spans="4:13" s="184" customFormat="1">
      <c r="D324" s="189"/>
      <c r="E324" s="189"/>
      <c r="F324" s="165"/>
      <c r="G324" s="186"/>
      <c r="M324" s="187"/>
    </row>
    <row r="325" spans="4:13" s="184" customFormat="1">
      <c r="D325" s="189"/>
      <c r="E325" s="189"/>
      <c r="F325" s="165"/>
      <c r="G325" s="186"/>
      <c r="M325" s="187"/>
    </row>
    <row r="326" spans="4:13" s="184" customFormat="1">
      <c r="D326" s="189"/>
      <c r="E326" s="189"/>
      <c r="F326" s="165"/>
      <c r="G326" s="186"/>
      <c r="M326" s="187"/>
    </row>
    <row r="327" spans="4:13" s="184" customFormat="1">
      <c r="D327" s="189"/>
      <c r="E327" s="189"/>
      <c r="F327" s="165"/>
      <c r="G327" s="186"/>
      <c r="M327" s="187"/>
    </row>
    <row r="328" spans="4:13" s="184" customFormat="1">
      <c r="D328" s="189"/>
      <c r="E328" s="189"/>
      <c r="F328" s="165"/>
      <c r="G328" s="186"/>
      <c r="M328" s="187"/>
    </row>
    <row r="329" spans="4:13" s="184" customFormat="1">
      <c r="D329" s="189"/>
      <c r="E329" s="189"/>
      <c r="F329" s="165"/>
      <c r="G329" s="186"/>
      <c r="M329" s="187"/>
    </row>
    <row r="330" spans="4:13" s="184" customFormat="1">
      <c r="D330" s="189"/>
      <c r="E330" s="189"/>
      <c r="F330" s="165"/>
      <c r="G330" s="186"/>
      <c r="M330" s="187"/>
    </row>
    <row r="331" spans="4:13" s="184" customFormat="1">
      <c r="D331" s="189"/>
      <c r="E331" s="189"/>
      <c r="F331" s="165"/>
      <c r="G331" s="186"/>
      <c r="M331" s="187"/>
    </row>
    <row r="332" spans="4:13" s="184" customFormat="1">
      <c r="D332" s="189"/>
      <c r="E332" s="189"/>
      <c r="F332" s="165"/>
      <c r="G332" s="186"/>
      <c r="M332" s="187"/>
    </row>
    <row r="333" spans="4:13" s="184" customFormat="1">
      <c r="D333" s="189"/>
      <c r="E333" s="189"/>
      <c r="F333" s="165"/>
      <c r="G333" s="186"/>
      <c r="M333" s="187"/>
    </row>
    <row r="334" spans="4:13" s="184" customFormat="1">
      <c r="D334" s="189"/>
      <c r="E334" s="189"/>
      <c r="F334" s="165"/>
      <c r="G334" s="186"/>
      <c r="M334" s="187"/>
    </row>
    <row r="335" spans="4:13" s="184" customFormat="1">
      <c r="D335" s="189"/>
      <c r="E335" s="189"/>
      <c r="F335" s="165"/>
      <c r="G335" s="186"/>
      <c r="M335" s="187"/>
    </row>
    <row r="336" spans="4:13" s="184" customFormat="1">
      <c r="D336" s="189"/>
      <c r="E336" s="189"/>
      <c r="F336" s="165"/>
      <c r="G336" s="186"/>
      <c r="M336" s="187"/>
    </row>
    <row r="337" spans="4:13" s="184" customFormat="1">
      <c r="D337" s="189"/>
      <c r="E337" s="189"/>
      <c r="F337" s="165"/>
      <c r="G337" s="186"/>
      <c r="M337" s="187"/>
    </row>
    <row r="338" spans="4:13" s="184" customFormat="1">
      <c r="D338" s="189"/>
      <c r="E338" s="189"/>
      <c r="F338" s="165"/>
      <c r="G338" s="186"/>
      <c r="M338" s="187"/>
    </row>
    <row r="339" spans="4:13" s="184" customFormat="1">
      <c r="D339" s="189"/>
      <c r="E339" s="189"/>
      <c r="F339" s="165"/>
      <c r="G339" s="186"/>
      <c r="M339" s="187"/>
    </row>
    <row r="340" spans="4:13" s="184" customFormat="1">
      <c r="D340" s="189"/>
      <c r="E340" s="189"/>
      <c r="F340" s="165"/>
      <c r="G340" s="186"/>
      <c r="M340" s="187"/>
    </row>
    <row r="341" spans="4:13" s="184" customFormat="1">
      <c r="D341" s="189"/>
      <c r="E341" s="189"/>
      <c r="F341" s="165"/>
      <c r="G341" s="186"/>
      <c r="M341" s="187"/>
    </row>
    <row r="342" spans="4:13" s="184" customFormat="1">
      <c r="D342" s="189"/>
      <c r="E342" s="189"/>
      <c r="F342" s="165"/>
      <c r="G342" s="186"/>
      <c r="M342" s="187"/>
    </row>
    <row r="343" spans="4:13" s="184" customFormat="1">
      <c r="D343" s="189"/>
      <c r="E343" s="189"/>
      <c r="F343" s="165"/>
      <c r="G343" s="186"/>
      <c r="M343" s="187"/>
    </row>
    <row r="344" spans="4:13" s="184" customFormat="1">
      <c r="D344" s="189"/>
      <c r="E344" s="189"/>
      <c r="F344" s="165"/>
      <c r="G344" s="186"/>
      <c r="M344" s="187"/>
    </row>
    <row r="345" spans="4:13" s="184" customFormat="1">
      <c r="D345" s="189"/>
      <c r="E345" s="189"/>
      <c r="F345" s="165"/>
      <c r="G345" s="186"/>
      <c r="M345" s="187"/>
    </row>
    <row r="346" spans="4:13" s="184" customFormat="1">
      <c r="D346" s="189"/>
      <c r="E346" s="189"/>
      <c r="F346" s="165"/>
      <c r="G346" s="186"/>
      <c r="M346" s="187"/>
    </row>
    <row r="347" spans="4:13" s="184" customFormat="1">
      <c r="D347" s="189"/>
      <c r="E347" s="189"/>
      <c r="F347" s="165"/>
      <c r="G347" s="186"/>
      <c r="M347" s="187"/>
    </row>
    <row r="348" spans="4:13" s="184" customFormat="1">
      <c r="D348" s="189"/>
      <c r="E348" s="189"/>
      <c r="F348" s="165"/>
      <c r="G348" s="186"/>
      <c r="M348" s="187"/>
    </row>
    <row r="349" spans="4:13" s="184" customFormat="1">
      <c r="D349" s="189"/>
      <c r="E349" s="189"/>
      <c r="F349" s="165"/>
      <c r="G349" s="186"/>
      <c r="M349" s="187"/>
    </row>
    <row r="350" spans="4:13" s="184" customFormat="1">
      <c r="D350" s="189"/>
      <c r="E350" s="189"/>
      <c r="F350" s="165"/>
      <c r="G350" s="186"/>
      <c r="M350" s="187"/>
    </row>
    <row r="351" spans="4:13" s="184" customFormat="1">
      <c r="D351" s="189"/>
      <c r="E351" s="189"/>
      <c r="F351" s="165"/>
      <c r="G351" s="186"/>
      <c r="M351" s="187"/>
    </row>
    <row r="352" spans="4:13" s="184" customFormat="1">
      <c r="D352" s="189"/>
      <c r="E352" s="189"/>
      <c r="F352" s="165"/>
      <c r="G352" s="186"/>
      <c r="M352" s="187"/>
    </row>
    <row r="353" spans="4:13" s="184" customFormat="1">
      <c r="D353" s="189"/>
      <c r="E353" s="189"/>
      <c r="F353" s="165"/>
      <c r="G353" s="186"/>
      <c r="M353" s="187"/>
    </row>
    <row r="354" spans="4:13" s="184" customFormat="1">
      <c r="D354" s="189"/>
      <c r="E354" s="189"/>
      <c r="F354" s="165"/>
      <c r="G354" s="186"/>
      <c r="M354" s="187"/>
    </row>
    <row r="355" spans="4:13" s="184" customFormat="1">
      <c r="D355" s="189"/>
      <c r="E355" s="189"/>
      <c r="F355" s="165"/>
      <c r="G355" s="186"/>
      <c r="M355" s="187"/>
    </row>
    <row r="356" spans="4:13" s="184" customFormat="1">
      <c r="D356" s="189"/>
      <c r="E356" s="189"/>
      <c r="F356" s="165"/>
      <c r="G356" s="186"/>
      <c r="M356" s="187"/>
    </row>
    <row r="357" spans="4:13" s="184" customFormat="1">
      <c r="D357" s="189"/>
      <c r="E357" s="189"/>
      <c r="F357" s="165"/>
      <c r="G357" s="186"/>
      <c r="M357" s="187"/>
    </row>
    <row r="358" spans="4:13" s="184" customFormat="1">
      <c r="D358" s="189"/>
      <c r="E358" s="189"/>
      <c r="F358" s="165"/>
      <c r="G358" s="186"/>
      <c r="M358" s="187"/>
    </row>
    <row r="359" spans="4:13" s="184" customFormat="1">
      <c r="D359" s="189"/>
      <c r="E359" s="189"/>
      <c r="F359" s="165"/>
      <c r="G359" s="186"/>
      <c r="M359" s="187"/>
    </row>
    <row r="360" spans="4:13" s="184" customFormat="1">
      <c r="D360" s="189"/>
      <c r="E360" s="189"/>
      <c r="F360" s="165"/>
      <c r="G360" s="186"/>
      <c r="M360" s="187"/>
    </row>
    <row r="361" spans="4:13" s="184" customFormat="1">
      <c r="D361" s="189"/>
      <c r="E361" s="189"/>
      <c r="F361" s="165"/>
      <c r="G361" s="186"/>
      <c r="M361" s="187"/>
    </row>
    <row r="362" spans="4:13" s="184" customFormat="1">
      <c r="D362" s="189"/>
      <c r="E362" s="189"/>
      <c r="F362" s="165"/>
      <c r="G362" s="186"/>
      <c r="M362" s="187"/>
    </row>
    <row r="363" spans="4:13" s="184" customFormat="1">
      <c r="D363" s="189"/>
      <c r="E363" s="189"/>
      <c r="F363" s="165"/>
      <c r="G363" s="186"/>
      <c r="M363" s="187"/>
    </row>
    <row r="364" spans="4:13" s="184" customFormat="1">
      <c r="D364" s="189"/>
      <c r="E364" s="189"/>
      <c r="F364" s="165"/>
      <c r="G364" s="186"/>
      <c r="M364" s="187"/>
    </row>
    <row r="365" spans="4:13" s="184" customFormat="1">
      <c r="D365" s="189"/>
      <c r="E365" s="189"/>
      <c r="F365" s="165"/>
      <c r="G365" s="186"/>
      <c r="M365" s="187"/>
    </row>
    <row r="366" spans="4:13" s="184" customFormat="1">
      <c r="D366" s="189"/>
      <c r="E366" s="189"/>
      <c r="F366" s="165"/>
      <c r="G366" s="186"/>
      <c r="M366" s="187"/>
    </row>
    <row r="367" spans="4:13" s="184" customFormat="1">
      <c r="D367" s="189"/>
      <c r="E367" s="189"/>
      <c r="F367" s="165"/>
      <c r="G367" s="186"/>
      <c r="M367" s="187"/>
    </row>
    <row r="368" spans="4:13" s="184" customFormat="1">
      <c r="D368" s="189"/>
      <c r="E368" s="189"/>
      <c r="F368" s="165"/>
      <c r="G368" s="186"/>
      <c r="M368" s="187"/>
    </row>
    <row r="369" spans="4:13" s="184" customFormat="1">
      <c r="D369" s="189"/>
      <c r="E369" s="189"/>
      <c r="F369" s="165"/>
      <c r="G369" s="186"/>
      <c r="M369" s="187"/>
    </row>
    <row r="370" spans="4:13" s="184" customFormat="1">
      <c r="D370" s="189"/>
      <c r="E370" s="189"/>
      <c r="F370" s="165"/>
      <c r="G370" s="186"/>
      <c r="M370" s="187"/>
    </row>
    <row r="371" spans="4:13" s="184" customFormat="1">
      <c r="D371" s="189"/>
      <c r="E371" s="189"/>
      <c r="F371" s="165"/>
      <c r="G371" s="186"/>
      <c r="M371" s="187"/>
    </row>
    <row r="372" spans="4:13" s="184" customFormat="1">
      <c r="D372" s="189"/>
      <c r="E372" s="189"/>
      <c r="F372" s="165"/>
      <c r="G372" s="186"/>
      <c r="M372" s="187"/>
    </row>
    <row r="373" spans="4:13" s="184" customFormat="1">
      <c r="D373" s="189"/>
      <c r="E373" s="189"/>
      <c r="F373" s="165"/>
      <c r="G373" s="186"/>
      <c r="M373" s="187"/>
    </row>
    <row r="374" spans="4:13" s="184" customFormat="1">
      <c r="D374" s="189"/>
      <c r="E374" s="189"/>
      <c r="F374" s="165"/>
      <c r="G374" s="186"/>
      <c r="M374" s="187"/>
    </row>
    <row r="375" spans="4:13" s="184" customFormat="1">
      <c r="D375" s="189"/>
      <c r="E375" s="189"/>
      <c r="F375" s="165"/>
      <c r="G375" s="186"/>
      <c r="M375" s="187"/>
    </row>
    <row r="376" spans="4:13" s="184" customFormat="1">
      <c r="D376" s="189"/>
      <c r="E376" s="189"/>
      <c r="F376" s="165"/>
      <c r="G376" s="186"/>
      <c r="M376" s="187"/>
    </row>
    <row r="377" spans="4:13" s="184" customFormat="1">
      <c r="D377" s="189"/>
      <c r="E377" s="189"/>
      <c r="F377" s="165"/>
      <c r="G377" s="186"/>
      <c r="M377" s="187"/>
    </row>
    <row r="378" spans="4:13" s="184" customFormat="1">
      <c r="D378" s="189"/>
      <c r="E378" s="189"/>
      <c r="F378" s="165"/>
      <c r="G378" s="186"/>
      <c r="M378" s="187"/>
    </row>
    <row r="379" spans="4:13" s="184" customFormat="1">
      <c r="D379" s="189"/>
      <c r="E379" s="189"/>
      <c r="F379" s="165"/>
      <c r="G379" s="186"/>
      <c r="M379" s="187"/>
    </row>
    <row r="380" spans="4:13" s="184" customFormat="1">
      <c r="D380" s="189"/>
      <c r="E380" s="189"/>
      <c r="F380" s="165"/>
      <c r="G380" s="186"/>
      <c r="M380" s="187"/>
    </row>
    <row r="381" spans="4:13" s="184" customFormat="1">
      <c r="D381" s="189"/>
      <c r="E381" s="189"/>
      <c r="F381" s="165"/>
      <c r="G381" s="186"/>
      <c r="M381" s="187"/>
    </row>
    <row r="382" spans="4:13" s="184" customFormat="1">
      <c r="D382" s="189"/>
      <c r="E382" s="189"/>
      <c r="F382" s="165"/>
      <c r="G382" s="186"/>
      <c r="M382" s="187"/>
    </row>
    <row r="383" spans="4:13" s="184" customFormat="1">
      <c r="D383" s="189"/>
      <c r="E383" s="189"/>
      <c r="F383" s="165"/>
      <c r="G383" s="186"/>
      <c r="M383" s="187"/>
    </row>
    <row r="384" spans="4:13" s="184" customFormat="1">
      <c r="D384" s="189"/>
      <c r="E384" s="189"/>
      <c r="F384" s="165"/>
      <c r="G384" s="186"/>
      <c r="M384" s="187"/>
    </row>
    <row r="385" spans="4:13" s="184" customFormat="1">
      <c r="D385" s="189"/>
      <c r="E385" s="189"/>
      <c r="F385" s="165"/>
      <c r="G385" s="186"/>
      <c r="M385" s="187"/>
    </row>
    <row r="386" spans="4:13" s="184" customFormat="1">
      <c r="D386" s="189"/>
      <c r="E386" s="189"/>
      <c r="F386" s="165"/>
      <c r="G386" s="186"/>
      <c r="M386" s="187"/>
    </row>
    <row r="387" spans="4:13" s="184" customFormat="1">
      <c r="D387" s="189"/>
      <c r="E387" s="189"/>
      <c r="F387" s="165"/>
      <c r="G387" s="186"/>
      <c r="M387" s="187"/>
    </row>
    <row r="388" spans="4:13" s="184" customFormat="1">
      <c r="D388" s="189"/>
      <c r="E388" s="189"/>
      <c r="F388" s="165"/>
      <c r="G388" s="186"/>
      <c r="M388" s="187"/>
    </row>
    <row r="389" spans="4:13" s="184" customFormat="1">
      <c r="D389" s="189"/>
      <c r="E389" s="189"/>
      <c r="F389" s="165"/>
      <c r="G389" s="186"/>
      <c r="M389" s="187"/>
    </row>
    <row r="390" spans="4:13" s="184" customFormat="1">
      <c r="D390" s="189"/>
      <c r="E390" s="189"/>
      <c r="F390" s="165"/>
      <c r="G390" s="186"/>
      <c r="M390" s="187"/>
    </row>
    <row r="391" spans="4:13" s="184" customFormat="1">
      <c r="D391" s="189"/>
      <c r="E391" s="189"/>
      <c r="F391" s="165"/>
      <c r="G391" s="186"/>
      <c r="M391" s="187"/>
    </row>
    <row r="392" spans="4:13" s="184" customFormat="1">
      <c r="D392" s="189"/>
      <c r="E392" s="189"/>
      <c r="F392" s="165"/>
      <c r="G392" s="186"/>
      <c r="M392" s="187"/>
    </row>
    <row r="393" spans="4:13" s="184" customFormat="1">
      <c r="D393" s="189"/>
      <c r="E393" s="189"/>
      <c r="F393" s="165"/>
      <c r="G393" s="186"/>
      <c r="M393" s="187"/>
    </row>
    <row r="394" spans="4:13" s="184" customFormat="1">
      <c r="D394" s="189"/>
      <c r="E394" s="189"/>
      <c r="F394" s="165"/>
      <c r="G394" s="186"/>
      <c r="M394" s="187"/>
    </row>
    <row r="395" spans="4:13" s="184" customFormat="1">
      <c r="D395" s="189"/>
      <c r="E395" s="189"/>
      <c r="F395" s="165"/>
      <c r="G395" s="186"/>
      <c r="M395" s="187"/>
    </row>
    <row r="396" spans="4:13" s="184" customFormat="1">
      <c r="D396" s="189"/>
      <c r="E396" s="189"/>
      <c r="F396" s="165"/>
      <c r="G396" s="186"/>
      <c r="M396" s="187"/>
    </row>
    <row r="397" spans="4:13" s="184" customFormat="1">
      <c r="D397" s="189"/>
      <c r="E397" s="189"/>
      <c r="F397" s="165"/>
      <c r="G397" s="186"/>
      <c r="M397" s="187"/>
    </row>
    <row r="398" spans="4:13" s="184" customFormat="1">
      <c r="D398" s="189"/>
      <c r="E398" s="189"/>
      <c r="F398" s="165"/>
      <c r="G398" s="186"/>
      <c r="M398" s="187"/>
    </row>
    <row r="399" spans="4:13" s="184" customFormat="1">
      <c r="D399" s="189"/>
      <c r="E399" s="189"/>
      <c r="F399" s="165"/>
      <c r="G399" s="186"/>
      <c r="M399" s="187"/>
    </row>
    <row r="400" spans="4:13" s="184" customFormat="1">
      <c r="D400" s="189"/>
      <c r="E400" s="189"/>
      <c r="F400" s="165"/>
      <c r="G400" s="186"/>
      <c r="M400" s="187"/>
    </row>
    <row r="401" spans="4:13" s="184" customFormat="1">
      <c r="D401" s="189"/>
      <c r="E401" s="189"/>
      <c r="F401" s="165"/>
      <c r="G401" s="186"/>
      <c r="M401" s="187"/>
    </row>
    <row r="402" spans="4:13" s="184" customFormat="1">
      <c r="D402" s="189"/>
      <c r="E402" s="189"/>
      <c r="F402" s="165"/>
      <c r="G402" s="186"/>
      <c r="M402" s="187"/>
    </row>
    <row r="403" spans="4:13" s="184" customFormat="1">
      <c r="D403" s="189"/>
      <c r="E403" s="189"/>
      <c r="F403" s="165"/>
      <c r="G403" s="186"/>
      <c r="M403" s="187"/>
    </row>
    <row r="404" spans="4:13" s="184" customFormat="1">
      <c r="D404" s="189"/>
      <c r="E404" s="189"/>
      <c r="F404" s="165"/>
      <c r="G404" s="186"/>
      <c r="M404" s="187"/>
    </row>
    <row r="405" spans="4:13" s="184" customFormat="1">
      <c r="D405" s="189"/>
      <c r="E405" s="189"/>
      <c r="F405" s="165"/>
      <c r="G405" s="186"/>
      <c r="M405" s="187"/>
    </row>
    <row r="406" spans="4:13" s="184" customFormat="1">
      <c r="D406" s="189"/>
      <c r="E406" s="189"/>
      <c r="F406" s="165"/>
      <c r="G406" s="186"/>
      <c r="M406" s="187"/>
    </row>
    <row r="407" spans="4:13" s="184" customFormat="1">
      <c r="D407" s="189"/>
      <c r="E407" s="189"/>
      <c r="F407" s="165"/>
      <c r="G407" s="186"/>
      <c r="M407" s="187"/>
    </row>
    <row r="408" spans="4:13" s="184" customFormat="1">
      <c r="D408" s="189"/>
      <c r="E408" s="189"/>
      <c r="F408" s="165"/>
      <c r="G408" s="186"/>
      <c r="M408" s="187"/>
    </row>
    <row r="409" spans="4:13" s="184" customFormat="1">
      <c r="D409" s="189"/>
      <c r="E409" s="189"/>
      <c r="F409" s="165"/>
      <c r="G409" s="186"/>
      <c r="M409" s="187"/>
    </row>
    <row r="410" spans="4:13" s="184" customFormat="1">
      <c r="D410" s="189"/>
      <c r="E410" s="189"/>
      <c r="F410" s="165"/>
      <c r="G410" s="186"/>
      <c r="M410" s="187"/>
    </row>
    <row r="411" spans="4:13" s="184" customFormat="1">
      <c r="D411" s="189"/>
      <c r="E411" s="189"/>
      <c r="F411" s="165"/>
      <c r="G411" s="186"/>
      <c r="M411" s="187"/>
    </row>
    <row r="412" spans="4:13" s="184" customFormat="1">
      <c r="D412" s="189"/>
      <c r="E412" s="189"/>
      <c r="F412" s="165"/>
      <c r="G412" s="186"/>
      <c r="M412" s="187"/>
    </row>
    <row r="413" spans="4:13" s="184" customFormat="1">
      <c r="D413" s="189"/>
      <c r="E413" s="189"/>
      <c r="F413" s="165"/>
      <c r="G413" s="186"/>
      <c r="M413" s="187"/>
    </row>
    <row r="414" spans="4:13" s="184" customFormat="1">
      <c r="D414" s="189"/>
      <c r="E414" s="189"/>
      <c r="F414" s="165"/>
      <c r="G414" s="186"/>
      <c r="M414" s="187"/>
    </row>
    <row r="415" spans="4:13" s="184" customFormat="1">
      <c r="D415" s="189"/>
      <c r="E415" s="189"/>
      <c r="F415" s="165"/>
      <c r="G415" s="186"/>
      <c r="M415" s="187"/>
    </row>
    <row r="416" spans="4:13" s="184" customFormat="1">
      <c r="D416" s="189"/>
      <c r="E416" s="189"/>
      <c r="F416" s="165"/>
      <c r="G416" s="186"/>
      <c r="M416" s="187"/>
    </row>
    <row r="417" spans="4:13" s="184" customFormat="1">
      <c r="D417" s="189"/>
      <c r="E417" s="189"/>
      <c r="F417" s="165"/>
      <c r="G417" s="186"/>
      <c r="M417" s="187"/>
    </row>
    <row r="418" spans="4:13" s="184" customFormat="1">
      <c r="D418" s="189"/>
      <c r="E418" s="189"/>
      <c r="F418" s="165"/>
      <c r="G418" s="186"/>
      <c r="M418" s="187"/>
    </row>
    <row r="419" spans="4:13" s="184" customFormat="1">
      <c r="D419" s="189"/>
      <c r="E419" s="189"/>
      <c r="F419" s="165"/>
      <c r="G419" s="186"/>
      <c r="M419" s="187"/>
    </row>
    <row r="420" spans="4:13" s="184" customFormat="1">
      <c r="D420" s="189"/>
      <c r="E420" s="189"/>
      <c r="F420" s="165"/>
      <c r="G420" s="186"/>
      <c r="M420" s="187"/>
    </row>
    <row r="421" spans="4:13" s="184" customFormat="1">
      <c r="D421" s="189"/>
      <c r="E421" s="189"/>
      <c r="F421" s="165"/>
      <c r="G421" s="186"/>
      <c r="M421" s="187"/>
    </row>
    <row r="422" spans="4:13" s="184" customFormat="1">
      <c r="D422" s="189"/>
      <c r="E422" s="189"/>
      <c r="F422" s="165"/>
      <c r="G422" s="186"/>
      <c r="M422" s="187"/>
    </row>
    <row r="423" spans="4:13" s="184" customFormat="1">
      <c r="D423" s="189"/>
      <c r="E423" s="189"/>
      <c r="F423" s="165"/>
      <c r="G423" s="186"/>
      <c r="M423" s="187"/>
    </row>
    <row r="424" spans="4:13" s="184" customFormat="1">
      <c r="D424" s="189"/>
      <c r="E424" s="189"/>
      <c r="F424" s="165"/>
      <c r="G424" s="186"/>
      <c r="M424" s="187"/>
    </row>
    <row r="425" spans="4:13" s="184" customFormat="1">
      <c r="D425" s="189"/>
      <c r="E425" s="189"/>
      <c r="F425" s="165"/>
      <c r="G425" s="186"/>
      <c r="M425" s="187"/>
    </row>
    <row r="426" spans="4:13" s="184" customFormat="1">
      <c r="D426" s="189"/>
      <c r="E426" s="189"/>
      <c r="F426" s="165"/>
      <c r="G426" s="186"/>
      <c r="M426" s="187"/>
    </row>
    <row r="427" spans="4:13" s="184" customFormat="1">
      <c r="D427" s="189"/>
      <c r="E427" s="189"/>
      <c r="F427" s="165"/>
      <c r="G427" s="186"/>
      <c r="M427" s="187"/>
    </row>
    <row r="428" spans="4:13" s="184" customFormat="1">
      <c r="D428" s="189"/>
      <c r="E428" s="189"/>
      <c r="F428" s="165"/>
      <c r="G428" s="186"/>
      <c r="M428" s="187"/>
    </row>
    <row r="429" spans="4:13" s="184" customFormat="1">
      <c r="D429" s="189"/>
      <c r="E429" s="189"/>
      <c r="F429" s="165"/>
      <c r="G429" s="186"/>
      <c r="M429" s="187"/>
    </row>
    <row r="430" spans="4:13" s="184" customFormat="1">
      <c r="D430" s="189"/>
      <c r="E430" s="189"/>
      <c r="F430" s="165"/>
      <c r="G430" s="186"/>
      <c r="M430" s="187"/>
    </row>
    <row r="431" spans="4:13" s="184" customFormat="1">
      <c r="D431" s="189"/>
      <c r="E431" s="189"/>
      <c r="F431" s="165"/>
      <c r="G431" s="186"/>
      <c r="M431" s="187"/>
    </row>
    <row r="432" spans="4:13" s="184" customFormat="1">
      <c r="D432" s="189"/>
      <c r="E432" s="189"/>
      <c r="F432" s="165"/>
      <c r="G432" s="186"/>
      <c r="M432" s="187"/>
    </row>
    <row r="433" spans="4:13" s="184" customFormat="1">
      <c r="D433" s="189"/>
      <c r="E433" s="189"/>
      <c r="F433" s="165"/>
      <c r="G433" s="186"/>
      <c r="M433" s="187"/>
    </row>
    <row r="434" spans="4:13" s="184" customFormat="1">
      <c r="D434" s="189"/>
      <c r="E434" s="189"/>
      <c r="F434" s="165"/>
      <c r="G434" s="186"/>
      <c r="M434" s="187"/>
    </row>
    <row r="435" spans="4:13" s="184" customFormat="1">
      <c r="D435" s="189"/>
      <c r="E435" s="189"/>
      <c r="F435" s="165"/>
      <c r="G435" s="186"/>
      <c r="M435" s="187"/>
    </row>
    <row r="436" spans="4:13" s="184" customFormat="1">
      <c r="D436" s="189"/>
      <c r="E436" s="189"/>
      <c r="F436" s="165"/>
      <c r="G436" s="186"/>
      <c r="M436" s="187"/>
    </row>
    <row r="437" spans="4:13" s="184" customFormat="1">
      <c r="D437" s="189"/>
      <c r="E437" s="189"/>
      <c r="F437" s="165"/>
      <c r="G437" s="186"/>
      <c r="M437" s="187"/>
    </row>
    <row r="438" spans="4:13" s="184" customFormat="1">
      <c r="D438" s="189"/>
      <c r="E438" s="189"/>
      <c r="F438" s="165"/>
      <c r="G438" s="186"/>
      <c r="M438" s="187"/>
    </row>
    <row r="439" spans="4:13" s="184" customFormat="1">
      <c r="D439" s="189"/>
      <c r="E439" s="189"/>
      <c r="F439" s="165"/>
      <c r="G439" s="186"/>
      <c r="M439" s="187"/>
    </row>
    <row r="440" spans="4:13" s="184" customFormat="1">
      <c r="D440" s="189"/>
      <c r="E440" s="189"/>
      <c r="F440" s="165"/>
      <c r="G440" s="186"/>
      <c r="M440" s="187"/>
    </row>
    <row r="441" spans="4:13" s="184" customFormat="1">
      <c r="D441" s="189"/>
      <c r="E441" s="189"/>
      <c r="F441" s="165"/>
      <c r="G441" s="186"/>
      <c r="M441" s="187"/>
    </row>
    <row r="442" spans="4:13" s="184" customFormat="1">
      <c r="D442" s="189"/>
      <c r="E442" s="189"/>
      <c r="F442" s="165"/>
      <c r="G442" s="186"/>
      <c r="M442" s="187"/>
    </row>
    <row r="443" spans="4:13" s="184" customFormat="1">
      <c r="D443" s="189"/>
      <c r="E443" s="189"/>
      <c r="F443" s="165"/>
      <c r="G443" s="186"/>
      <c r="M443" s="187"/>
    </row>
    <row r="444" spans="4:13" s="184" customFormat="1">
      <c r="D444" s="189"/>
      <c r="E444" s="189"/>
      <c r="F444" s="165"/>
      <c r="G444" s="186"/>
      <c r="M444" s="187"/>
    </row>
    <row r="445" spans="4:13" s="184" customFormat="1">
      <c r="D445" s="189"/>
      <c r="E445" s="189"/>
      <c r="F445" s="165"/>
      <c r="G445" s="186"/>
      <c r="M445" s="187"/>
    </row>
    <row r="446" spans="4:13" s="184" customFormat="1">
      <c r="D446" s="189"/>
      <c r="E446" s="189"/>
      <c r="F446" s="165"/>
      <c r="G446" s="186"/>
      <c r="M446" s="187"/>
    </row>
    <row r="447" spans="4:13" s="184" customFormat="1">
      <c r="D447" s="189"/>
      <c r="E447" s="189"/>
      <c r="F447" s="165"/>
      <c r="G447" s="186"/>
      <c r="M447" s="187"/>
    </row>
    <row r="448" spans="4:13" s="184" customFormat="1">
      <c r="D448" s="189"/>
      <c r="E448" s="189"/>
      <c r="F448" s="165"/>
      <c r="G448" s="186"/>
      <c r="M448" s="187"/>
    </row>
    <row r="449" spans="4:13" s="184" customFormat="1">
      <c r="D449" s="189"/>
      <c r="E449" s="189"/>
      <c r="F449" s="165"/>
      <c r="G449" s="186"/>
      <c r="M449" s="187"/>
    </row>
    <row r="450" spans="4:13" s="184" customFormat="1">
      <c r="D450" s="189"/>
      <c r="E450" s="189"/>
      <c r="F450" s="165"/>
      <c r="G450" s="186"/>
      <c r="M450" s="187"/>
    </row>
    <row r="451" spans="4:13" s="184" customFormat="1">
      <c r="D451" s="189"/>
      <c r="E451" s="189"/>
      <c r="F451" s="165"/>
      <c r="G451" s="186"/>
      <c r="M451" s="187"/>
    </row>
    <row r="452" spans="4:13" s="184" customFormat="1">
      <c r="D452" s="189"/>
      <c r="E452" s="189"/>
      <c r="F452" s="165"/>
      <c r="G452" s="186"/>
      <c r="M452" s="187"/>
    </row>
    <row r="453" spans="4:13" s="184" customFormat="1">
      <c r="D453" s="189"/>
      <c r="E453" s="189"/>
      <c r="F453" s="165"/>
      <c r="G453" s="186"/>
      <c r="M453" s="187"/>
    </row>
    <row r="454" spans="4:13" s="184" customFormat="1">
      <c r="D454" s="189"/>
      <c r="E454" s="189"/>
      <c r="F454" s="165"/>
      <c r="G454" s="186"/>
      <c r="M454" s="187"/>
    </row>
    <row r="455" spans="4:13" s="184" customFormat="1">
      <c r="D455" s="189"/>
      <c r="E455" s="189"/>
      <c r="F455" s="165"/>
      <c r="G455" s="186"/>
      <c r="M455" s="187"/>
    </row>
    <row r="456" spans="4:13" s="184" customFormat="1">
      <c r="D456" s="189"/>
      <c r="E456" s="189"/>
      <c r="F456" s="165"/>
      <c r="G456" s="186"/>
      <c r="M456" s="187"/>
    </row>
    <row r="457" spans="4:13" s="184" customFormat="1">
      <c r="D457" s="189"/>
      <c r="E457" s="189"/>
      <c r="F457" s="165"/>
      <c r="G457" s="186"/>
      <c r="M457" s="187"/>
    </row>
    <row r="458" spans="4:13" s="184" customFormat="1">
      <c r="D458" s="189"/>
      <c r="E458" s="189"/>
      <c r="F458" s="165"/>
      <c r="G458" s="186"/>
      <c r="M458" s="187"/>
    </row>
    <row r="459" spans="4:13" s="184" customFormat="1">
      <c r="D459" s="189"/>
      <c r="E459" s="189"/>
      <c r="F459" s="165"/>
      <c r="G459" s="186"/>
      <c r="M459" s="187"/>
    </row>
    <row r="460" spans="4:13" s="184" customFormat="1">
      <c r="D460" s="189"/>
      <c r="E460" s="189"/>
      <c r="F460" s="165"/>
      <c r="G460" s="186"/>
      <c r="M460" s="187"/>
    </row>
    <row r="461" spans="4:13" s="184" customFormat="1">
      <c r="D461" s="189"/>
      <c r="E461" s="189"/>
      <c r="F461" s="165"/>
      <c r="G461" s="186"/>
      <c r="M461" s="187"/>
    </row>
    <row r="462" spans="4:13" s="184" customFormat="1">
      <c r="D462" s="189"/>
      <c r="E462" s="189"/>
      <c r="F462" s="165"/>
      <c r="G462" s="186"/>
      <c r="M462" s="187"/>
    </row>
    <row r="463" spans="4:13" s="184" customFormat="1">
      <c r="D463" s="189"/>
      <c r="E463" s="189"/>
      <c r="F463" s="165"/>
      <c r="G463" s="186"/>
      <c r="M463" s="187"/>
    </row>
    <row r="464" spans="4:13" s="184" customFormat="1">
      <c r="D464" s="189"/>
      <c r="E464" s="189"/>
      <c r="F464" s="165"/>
      <c r="G464" s="186"/>
      <c r="M464" s="187"/>
    </row>
    <row r="465" spans="4:13" s="184" customFormat="1">
      <c r="D465" s="189"/>
      <c r="E465" s="189"/>
      <c r="F465" s="165"/>
      <c r="G465" s="186"/>
      <c r="M465" s="187"/>
    </row>
    <row r="466" spans="4:13" s="184" customFormat="1">
      <c r="D466" s="189"/>
      <c r="E466" s="189"/>
      <c r="F466" s="165"/>
      <c r="G466" s="186"/>
      <c r="M466" s="187"/>
    </row>
    <row r="467" spans="4:13" s="184" customFormat="1">
      <c r="D467" s="189"/>
      <c r="E467" s="189"/>
      <c r="F467" s="165"/>
      <c r="G467" s="186"/>
      <c r="M467" s="187"/>
    </row>
    <row r="468" spans="4:13" s="184" customFormat="1">
      <c r="D468" s="189"/>
      <c r="E468" s="189"/>
      <c r="F468" s="165"/>
      <c r="G468" s="186"/>
      <c r="M468" s="187"/>
    </row>
    <row r="469" spans="4:13" s="184" customFormat="1">
      <c r="D469" s="189"/>
      <c r="E469" s="189"/>
      <c r="F469" s="165"/>
      <c r="G469" s="186"/>
      <c r="M469" s="187"/>
    </row>
    <row r="470" spans="4:13" s="184" customFormat="1">
      <c r="D470" s="189"/>
      <c r="E470" s="189"/>
      <c r="F470" s="165"/>
      <c r="G470" s="186"/>
      <c r="M470" s="187"/>
    </row>
    <row r="471" spans="4:13" s="184" customFormat="1">
      <c r="D471" s="189"/>
      <c r="E471" s="189"/>
      <c r="F471" s="165"/>
      <c r="G471" s="186"/>
      <c r="M471" s="187"/>
    </row>
    <row r="472" spans="4:13" s="184" customFormat="1">
      <c r="D472" s="189"/>
      <c r="E472" s="189"/>
      <c r="F472" s="165"/>
      <c r="G472" s="186"/>
      <c r="M472" s="187"/>
    </row>
    <row r="473" spans="4:13" s="184" customFormat="1">
      <c r="D473" s="189"/>
      <c r="E473" s="189"/>
      <c r="F473" s="165"/>
      <c r="G473" s="186"/>
      <c r="M473" s="187"/>
    </row>
    <row r="474" spans="4:13" s="184" customFormat="1">
      <c r="D474" s="189"/>
      <c r="E474" s="189"/>
      <c r="F474" s="165"/>
      <c r="G474" s="186"/>
      <c r="M474" s="187"/>
    </row>
    <row r="475" spans="4:13" s="184" customFormat="1">
      <c r="D475" s="189"/>
      <c r="E475" s="189"/>
      <c r="F475" s="165"/>
      <c r="G475" s="186"/>
      <c r="M475" s="187"/>
    </row>
    <row r="476" spans="4:13" s="184" customFormat="1">
      <c r="D476" s="189"/>
      <c r="E476" s="189"/>
      <c r="F476" s="165"/>
      <c r="G476" s="186"/>
      <c r="M476" s="187"/>
    </row>
    <row r="477" spans="4:13" s="184" customFormat="1">
      <c r="D477" s="189"/>
      <c r="E477" s="189"/>
      <c r="F477" s="165"/>
      <c r="G477" s="186"/>
      <c r="M477" s="187"/>
    </row>
    <row r="478" spans="4:13" s="184" customFormat="1">
      <c r="D478" s="189"/>
      <c r="E478" s="189"/>
      <c r="F478" s="165"/>
      <c r="G478" s="186"/>
      <c r="M478" s="187"/>
    </row>
    <row r="479" spans="4:13" s="184" customFormat="1">
      <c r="D479" s="189"/>
      <c r="E479" s="189"/>
      <c r="F479" s="165"/>
      <c r="G479" s="186"/>
      <c r="M479" s="187"/>
    </row>
    <row r="480" spans="4:13" s="184" customFormat="1">
      <c r="D480" s="189"/>
      <c r="E480" s="189"/>
      <c r="F480" s="165"/>
      <c r="G480" s="186"/>
      <c r="M480" s="187"/>
    </row>
    <row r="481" spans="4:13" s="184" customFormat="1">
      <c r="D481" s="189"/>
      <c r="E481" s="189"/>
      <c r="F481" s="165"/>
      <c r="G481" s="186"/>
      <c r="M481" s="187"/>
    </row>
    <row r="482" spans="4:13" s="184" customFormat="1">
      <c r="D482" s="189"/>
      <c r="E482" s="189"/>
      <c r="F482" s="165"/>
      <c r="G482" s="186"/>
      <c r="M482" s="187"/>
    </row>
    <row r="483" spans="4:13" s="184" customFormat="1">
      <c r="D483" s="189"/>
      <c r="E483" s="189"/>
      <c r="F483" s="165"/>
      <c r="G483" s="186"/>
      <c r="M483" s="187"/>
    </row>
    <row r="484" spans="4:13" s="184" customFormat="1">
      <c r="D484" s="189"/>
      <c r="E484" s="189"/>
      <c r="F484" s="165"/>
      <c r="G484" s="186"/>
      <c r="M484" s="187"/>
    </row>
    <row r="485" spans="4:13" s="184" customFormat="1">
      <c r="D485" s="189"/>
      <c r="E485" s="189"/>
      <c r="F485" s="165"/>
      <c r="G485" s="186"/>
      <c r="M485" s="187"/>
    </row>
    <row r="486" spans="4:13" s="184" customFormat="1">
      <c r="D486" s="189"/>
      <c r="E486" s="189"/>
      <c r="F486" s="165"/>
      <c r="G486" s="186"/>
      <c r="M486" s="187"/>
    </row>
    <row r="487" spans="4:13" s="184" customFormat="1">
      <c r="D487" s="189"/>
      <c r="E487" s="189"/>
      <c r="F487" s="165"/>
      <c r="G487" s="186"/>
      <c r="M487" s="187"/>
    </row>
    <row r="488" spans="4:13" s="184" customFormat="1">
      <c r="D488" s="189"/>
      <c r="E488" s="189"/>
      <c r="F488" s="165"/>
      <c r="G488" s="186"/>
      <c r="M488" s="187"/>
    </row>
    <row r="489" spans="4:13" s="184" customFormat="1">
      <c r="D489" s="189"/>
      <c r="E489" s="189"/>
      <c r="F489" s="165"/>
      <c r="G489" s="186"/>
      <c r="M489" s="187"/>
    </row>
    <row r="490" spans="4:13" s="184" customFormat="1">
      <c r="D490" s="189"/>
      <c r="E490" s="189"/>
      <c r="F490" s="165"/>
      <c r="G490" s="186"/>
      <c r="M490" s="187"/>
    </row>
    <row r="491" spans="4:13" s="184" customFormat="1">
      <c r="D491" s="189"/>
      <c r="E491" s="189"/>
      <c r="F491" s="165"/>
      <c r="G491" s="186"/>
      <c r="M491" s="187"/>
    </row>
    <row r="492" spans="4:13" s="184" customFormat="1">
      <c r="D492" s="189"/>
      <c r="E492" s="189"/>
      <c r="F492" s="165"/>
      <c r="G492" s="186"/>
      <c r="M492" s="187"/>
    </row>
    <row r="493" spans="4:13" s="184" customFormat="1">
      <c r="D493" s="189"/>
      <c r="E493" s="189"/>
      <c r="F493" s="165"/>
      <c r="G493" s="186"/>
      <c r="M493" s="187"/>
    </row>
    <row r="494" spans="4:13" s="184" customFormat="1">
      <c r="D494" s="189"/>
      <c r="E494" s="189"/>
      <c r="F494" s="165"/>
      <c r="G494" s="186"/>
      <c r="M494" s="187"/>
    </row>
    <row r="495" spans="4:13" s="184" customFormat="1">
      <c r="D495" s="189"/>
      <c r="E495" s="189"/>
      <c r="F495" s="165"/>
      <c r="G495" s="186"/>
      <c r="M495" s="187"/>
    </row>
    <row r="496" spans="4:13" s="184" customFormat="1">
      <c r="D496" s="189"/>
      <c r="E496" s="189"/>
      <c r="F496" s="165"/>
      <c r="G496" s="186"/>
      <c r="M496" s="187"/>
    </row>
    <row r="497" spans="4:13" s="184" customFormat="1">
      <c r="D497" s="189"/>
      <c r="E497" s="189"/>
      <c r="F497" s="165"/>
      <c r="G497" s="186"/>
      <c r="M497" s="187"/>
    </row>
    <row r="498" spans="4:13" s="184" customFormat="1">
      <c r="D498" s="189"/>
      <c r="E498" s="189"/>
      <c r="F498" s="165"/>
      <c r="G498" s="186"/>
      <c r="M498" s="187"/>
    </row>
    <row r="499" spans="4:13" s="184" customFormat="1">
      <c r="D499" s="189"/>
      <c r="E499" s="189"/>
      <c r="F499" s="165"/>
      <c r="G499" s="186"/>
      <c r="M499" s="187"/>
    </row>
    <row r="500" spans="4:13" s="184" customFormat="1">
      <c r="D500" s="189"/>
      <c r="E500" s="189"/>
      <c r="F500" s="165"/>
      <c r="G500" s="186"/>
      <c r="M500" s="187"/>
    </row>
    <row r="501" spans="4:13" s="184" customFormat="1">
      <c r="D501" s="189"/>
      <c r="E501" s="189"/>
      <c r="F501" s="165"/>
      <c r="G501" s="186"/>
      <c r="M501" s="187"/>
    </row>
    <row r="502" spans="4:13" s="184" customFormat="1">
      <c r="D502" s="189"/>
      <c r="E502" s="189"/>
      <c r="F502" s="165"/>
      <c r="G502" s="186"/>
      <c r="M502" s="187"/>
    </row>
    <row r="503" spans="4:13" s="184" customFormat="1">
      <c r="D503" s="189"/>
      <c r="E503" s="189"/>
      <c r="F503" s="165"/>
      <c r="G503" s="186"/>
      <c r="M503" s="187"/>
    </row>
    <row r="504" spans="4:13" s="184" customFormat="1">
      <c r="D504" s="189"/>
      <c r="E504" s="189"/>
      <c r="F504" s="165"/>
      <c r="G504" s="186"/>
      <c r="M504" s="187"/>
    </row>
    <row r="505" spans="4:13" s="184" customFormat="1">
      <c r="D505" s="189"/>
      <c r="E505" s="189"/>
      <c r="F505" s="165"/>
      <c r="G505" s="186"/>
      <c r="M505" s="187"/>
    </row>
    <row r="506" spans="4:13" s="184" customFormat="1">
      <c r="D506" s="189"/>
      <c r="E506" s="189"/>
      <c r="F506" s="165"/>
      <c r="G506" s="186"/>
      <c r="M506" s="187"/>
    </row>
    <row r="507" spans="4:13" s="184" customFormat="1">
      <c r="D507" s="189"/>
      <c r="E507" s="189"/>
      <c r="F507" s="165"/>
      <c r="G507" s="186"/>
      <c r="M507" s="187"/>
    </row>
    <row r="508" spans="4:13" s="184" customFormat="1">
      <c r="D508" s="189"/>
      <c r="E508" s="189"/>
      <c r="F508" s="165"/>
      <c r="G508" s="186"/>
      <c r="M508" s="187"/>
    </row>
    <row r="509" spans="4:13" s="184" customFormat="1">
      <c r="D509" s="189"/>
      <c r="E509" s="189"/>
      <c r="F509" s="165"/>
      <c r="G509" s="186"/>
      <c r="M509" s="187"/>
    </row>
    <row r="510" spans="4:13" s="184" customFormat="1">
      <c r="D510" s="189"/>
      <c r="E510" s="189"/>
      <c r="F510" s="165"/>
      <c r="G510" s="186"/>
      <c r="M510" s="187"/>
    </row>
    <row r="511" spans="4:13" s="184" customFormat="1">
      <c r="D511" s="189"/>
      <c r="E511" s="189"/>
      <c r="F511" s="165"/>
      <c r="G511" s="186"/>
      <c r="M511" s="187"/>
    </row>
    <row r="512" spans="4:13" s="184" customFormat="1">
      <c r="D512" s="189"/>
      <c r="E512" s="189"/>
      <c r="F512" s="165"/>
      <c r="G512" s="186"/>
      <c r="M512" s="187"/>
    </row>
    <row r="513" spans="4:13" s="184" customFormat="1">
      <c r="D513" s="189"/>
      <c r="E513" s="189"/>
      <c r="F513" s="165"/>
      <c r="G513" s="186"/>
      <c r="M513" s="187"/>
    </row>
    <row r="514" spans="4:13" s="184" customFormat="1">
      <c r="D514" s="189"/>
      <c r="E514" s="189"/>
      <c r="F514" s="165"/>
      <c r="G514" s="186"/>
      <c r="M514" s="187"/>
    </row>
    <row r="515" spans="4:13" s="184" customFormat="1">
      <c r="D515" s="189"/>
      <c r="E515" s="189"/>
      <c r="F515" s="165"/>
      <c r="G515" s="186"/>
      <c r="M515" s="187"/>
    </row>
    <row r="516" spans="4:13" s="184" customFormat="1">
      <c r="D516" s="189"/>
      <c r="E516" s="189"/>
      <c r="F516" s="165"/>
      <c r="G516" s="186"/>
      <c r="M516" s="187"/>
    </row>
    <row r="517" spans="4:13" s="184" customFormat="1">
      <c r="D517" s="189"/>
      <c r="E517" s="189"/>
      <c r="F517" s="165"/>
      <c r="G517" s="186"/>
      <c r="M517" s="187"/>
    </row>
    <row r="518" spans="4:13" s="184" customFormat="1">
      <c r="D518" s="189"/>
      <c r="E518" s="189"/>
      <c r="F518" s="165"/>
      <c r="G518" s="186"/>
      <c r="M518" s="187"/>
    </row>
    <row r="519" spans="4:13" s="184" customFormat="1">
      <c r="D519" s="189"/>
      <c r="E519" s="189"/>
      <c r="F519" s="165"/>
      <c r="G519" s="186"/>
      <c r="M519" s="187"/>
    </row>
    <row r="520" spans="4:13" s="184" customFormat="1">
      <c r="D520" s="189"/>
      <c r="E520" s="189"/>
      <c r="F520" s="165"/>
      <c r="G520" s="186"/>
      <c r="M520" s="187"/>
    </row>
    <row r="521" spans="4:13" s="184" customFormat="1">
      <c r="D521" s="189"/>
      <c r="E521" s="189"/>
      <c r="F521" s="165"/>
      <c r="G521" s="186"/>
      <c r="M521" s="187"/>
    </row>
    <row r="522" spans="4:13" s="184" customFormat="1">
      <c r="D522" s="189"/>
      <c r="E522" s="189"/>
      <c r="F522" s="165"/>
      <c r="G522" s="186"/>
      <c r="M522" s="187"/>
    </row>
    <row r="523" spans="4:13" s="184" customFormat="1">
      <c r="D523" s="189"/>
      <c r="E523" s="189"/>
      <c r="F523" s="165"/>
      <c r="G523" s="186"/>
      <c r="M523" s="187"/>
    </row>
    <row r="524" spans="4:13" s="184" customFormat="1">
      <c r="D524" s="189"/>
      <c r="E524" s="189"/>
      <c r="F524" s="165"/>
      <c r="G524" s="186"/>
      <c r="M524" s="187"/>
    </row>
    <row r="525" spans="4:13" s="184" customFormat="1">
      <c r="D525" s="189"/>
      <c r="E525" s="189"/>
      <c r="F525" s="165"/>
      <c r="G525" s="186"/>
      <c r="M525" s="187"/>
    </row>
    <row r="526" spans="4:13" s="184" customFormat="1">
      <c r="D526" s="189"/>
      <c r="E526" s="189"/>
      <c r="F526" s="165"/>
      <c r="G526" s="186"/>
      <c r="M526" s="187"/>
    </row>
    <row r="527" spans="4:13" s="184" customFormat="1">
      <c r="D527" s="189"/>
      <c r="E527" s="189"/>
      <c r="F527" s="165"/>
      <c r="G527" s="186"/>
      <c r="M527" s="187"/>
    </row>
    <row r="528" spans="4:13" s="184" customFormat="1">
      <c r="D528" s="189"/>
      <c r="E528" s="189"/>
      <c r="F528" s="165"/>
      <c r="G528" s="186"/>
      <c r="M528" s="187"/>
    </row>
    <row r="529" spans="4:13" s="184" customFormat="1">
      <c r="D529" s="189"/>
      <c r="E529" s="189"/>
      <c r="F529" s="165"/>
      <c r="G529" s="186"/>
      <c r="M529" s="187"/>
    </row>
    <row r="530" spans="4:13" s="184" customFormat="1">
      <c r="D530" s="189"/>
      <c r="E530" s="189"/>
      <c r="F530" s="165"/>
      <c r="G530" s="186"/>
      <c r="M530" s="187"/>
    </row>
    <row r="531" spans="4:13" s="184" customFormat="1">
      <c r="D531" s="189"/>
      <c r="E531" s="189"/>
      <c r="F531" s="165"/>
      <c r="G531" s="186"/>
      <c r="M531" s="187"/>
    </row>
    <row r="532" spans="4:13" s="184" customFormat="1">
      <c r="D532" s="189"/>
      <c r="E532" s="189"/>
      <c r="F532" s="165"/>
      <c r="G532" s="186"/>
      <c r="M532" s="187"/>
    </row>
    <row r="533" spans="4:13" s="184" customFormat="1">
      <c r="D533" s="189"/>
      <c r="E533" s="189"/>
      <c r="F533" s="165"/>
      <c r="G533" s="186"/>
      <c r="M533" s="187"/>
    </row>
    <row r="534" spans="4:13" s="184" customFormat="1">
      <c r="D534" s="189"/>
      <c r="E534" s="189"/>
      <c r="F534" s="165"/>
      <c r="G534" s="186"/>
      <c r="M534" s="187"/>
    </row>
    <row r="535" spans="4:13" s="184" customFormat="1">
      <c r="D535" s="189"/>
      <c r="E535" s="189"/>
      <c r="F535" s="165"/>
      <c r="G535" s="186"/>
      <c r="M535" s="187"/>
    </row>
    <row r="536" spans="4:13" s="184" customFormat="1">
      <c r="D536" s="189"/>
      <c r="E536" s="189"/>
      <c r="F536" s="165"/>
      <c r="G536" s="186"/>
      <c r="M536" s="187"/>
    </row>
    <row r="537" spans="4:13" s="184" customFormat="1">
      <c r="D537" s="189"/>
      <c r="E537" s="189"/>
      <c r="F537" s="165"/>
      <c r="G537" s="186"/>
      <c r="M537" s="187"/>
    </row>
    <row r="538" spans="4:13" s="184" customFormat="1">
      <c r="D538" s="189"/>
      <c r="E538" s="189"/>
      <c r="F538" s="165"/>
      <c r="G538" s="186"/>
      <c r="M538" s="187"/>
    </row>
    <row r="539" spans="4:13" s="184" customFormat="1">
      <c r="D539" s="189"/>
      <c r="E539" s="189"/>
      <c r="F539" s="165"/>
      <c r="G539" s="186"/>
      <c r="M539" s="187"/>
    </row>
    <row r="540" spans="4:13" s="184" customFormat="1">
      <c r="D540" s="189"/>
      <c r="E540" s="189"/>
      <c r="F540" s="165"/>
      <c r="G540" s="186"/>
      <c r="M540" s="187"/>
    </row>
    <row r="541" spans="4:13" s="184" customFormat="1">
      <c r="D541" s="189"/>
      <c r="E541" s="189"/>
      <c r="F541" s="165"/>
      <c r="G541" s="186"/>
      <c r="M541" s="187"/>
    </row>
    <row r="542" spans="4:13" s="184" customFormat="1">
      <c r="D542" s="189"/>
      <c r="E542" s="189"/>
      <c r="F542" s="165"/>
      <c r="G542" s="186"/>
      <c r="M542" s="187"/>
    </row>
    <row r="543" spans="4:13" s="184" customFormat="1">
      <c r="D543" s="189"/>
      <c r="E543" s="189"/>
      <c r="F543" s="165"/>
      <c r="G543" s="186"/>
      <c r="M543" s="187"/>
    </row>
    <row r="544" spans="4:13" s="184" customFormat="1">
      <c r="D544" s="189"/>
      <c r="E544" s="189"/>
      <c r="F544" s="165"/>
      <c r="G544" s="186"/>
      <c r="M544" s="187"/>
    </row>
    <row r="545" spans="4:13" s="184" customFormat="1">
      <c r="D545" s="189"/>
      <c r="E545" s="189"/>
      <c r="F545" s="165"/>
      <c r="G545" s="186"/>
      <c r="M545" s="187"/>
    </row>
    <row r="546" spans="4:13" s="184" customFormat="1">
      <c r="D546" s="189"/>
      <c r="E546" s="189"/>
      <c r="F546" s="165"/>
      <c r="G546" s="186"/>
      <c r="M546" s="187"/>
    </row>
    <row r="547" spans="4:13" s="184" customFormat="1">
      <c r="D547" s="189"/>
      <c r="E547" s="189"/>
      <c r="F547" s="165"/>
      <c r="G547" s="186"/>
      <c r="M547" s="187"/>
    </row>
    <row r="548" spans="4:13" s="184" customFormat="1">
      <c r="D548" s="189"/>
      <c r="E548" s="189"/>
      <c r="F548" s="165"/>
      <c r="G548" s="186"/>
      <c r="M548" s="187"/>
    </row>
    <row r="549" spans="4:13" s="184" customFormat="1">
      <c r="D549" s="189"/>
      <c r="E549" s="189"/>
      <c r="F549" s="165"/>
      <c r="G549" s="186"/>
      <c r="M549" s="187"/>
    </row>
    <row r="550" spans="4:13" s="184" customFormat="1">
      <c r="D550" s="189"/>
      <c r="E550" s="189"/>
      <c r="F550" s="165"/>
      <c r="G550" s="186"/>
      <c r="M550" s="187"/>
    </row>
    <row r="551" spans="4:13" s="184" customFormat="1">
      <c r="D551" s="189"/>
      <c r="E551" s="189"/>
      <c r="F551" s="165"/>
      <c r="G551" s="186"/>
      <c r="M551" s="187"/>
    </row>
    <row r="552" spans="4:13" s="184" customFormat="1">
      <c r="D552" s="189"/>
      <c r="E552" s="189"/>
      <c r="F552" s="165"/>
      <c r="G552" s="186"/>
      <c r="M552" s="187"/>
    </row>
    <row r="553" spans="4:13" s="184" customFormat="1">
      <c r="D553" s="189"/>
      <c r="E553" s="189"/>
      <c r="F553" s="165"/>
      <c r="G553" s="186"/>
      <c r="M553" s="187"/>
    </row>
    <row r="554" spans="4:13" s="184" customFormat="1">
      <c r="D554" s="189"/>
      <c r="E554" s="189"/>
      <c r="F554" s="165"/>
      <c r="G554" s="186"/>
      <c r="M554" s="187"/>
    </row>
    <row r="555" spans="4:13" s="184" customFormat="1">
      <c r="D555" s="189"/>
      <c r="E555" s="189"/>
      <c r="F555" s="165"/>
      <c r="G555" s="186"/>
      <c r="M555" s="187"/>
    </row>
    <row r="556" spans="4:13" s="184" customFormat="1">
      <c r="D556" s="189"/>
      <c r="E556" s="189"/>
      <c r="F556" s="165"/>
      <c r="G556" s="186"/>
      <c r="M556" s="187"/>
    </row>
    <row r="557" spans="4:13" s="184" customFormat="1">
      <c r="D557" s="189"/>
      <c r="E557" s="189"/>
      <c r="F557" s="165"/>
      <c r="G557" s="186"/>
      <c r="M557" s="187"/>
    </row>
    <row r="558" spans="4:13" s="184" customFormat="1">
      <c r="D558" s="189"/>
      <c r="E558" s="189"/>
      <c r="F558" s="165"/>
      <c r="G558" s="186"/>
      <c r="M558" s="187"/>
    </row>
    <row r="559" spans="4:13" s="184" customFormat="1">
      <c r="D559" s="189"/>
      <c r="E559" s="189"/>
      <c r="F559" s="165"/>
      <c r="G559" s="186"/>
      <c r="M559" s="187"/>
    </row>
    <row r="560" spans="4:13" s="184" customFormat="1">
      <c r="D560" s="189"/>
      <c r="E560" s="189"/>
      <c r="F560" s="165"/>
      <c r="G560" s="186"/>
      <c r="M560" s="187"/>
    </row>
    <row r="561" spans="4:13" s="184" customFormat="1">
      <c r="D561" s="189"/>
      <c r="E561" s="189"/>
      <c r="F561" s="165"/>
      <c r="G561" s="186"/>
      <c r="M561" s="187"/>
    </row>
    <row r="562" spans="4:13" s="184" customFormat="1">
      <c r="D562" s="189"/>
      <c r="E562" s="189"/>
      <c r="F562" s="165"/>
      <c r="G562" s="186"/>
      <c r="M562" s="187"/>
    </row>
    <row r="563" spans="4:13" s="184" customFormat="1">
      <c r="D563" s="189"/>
      <c r="E563" s="189"/>
      <c r="F563" s="165"/>
      <c r="G563" s="186"/>
      <c r="M563" s="187"/>
    </row>
    <row r="564" spans="4:13" s="184" customFormat="1">
      <c r="D564" s="189"/>
      <c r="E564" s="189"/>
      <c r="F564" s="165"/>
      <c r="G564" s="186"/>
      <c r="M564" s="187"/>
    </row>
    <row r="565" spans="4:13" s="184" customFormat="1">
      <c r="D565" s="189"/>
      <c r="E565" s="189"/>
      <c r="F565" s="165"/>
      <c r="G565" s="186"/>
      <c r="M565" s="187"/>
    </row>
    <row r="566" spans="4:13" s="184" customFormat="1">
      <c r="D566" s="189"/>
      <c r="E566" s="189"/>
      <c r="F566" s="165"/>
      <c r="G566" s="186"/>
      <c r="M566" s="187"/>
    </row>
    <row r="567" spans="4:13" s="184" customFormat="1">
      <c r="D567" s="189"/>
      <c r="E567" s="189"/>
      <c r="F567" s="165"/>
      <c r="G567" s="186"/>
      <c r="M567" s="187"/>
    </row>
    <row r="568" spans="4:13" s="184" customFormat="1">
      <c r="D568" s="189"/>
      <c r="E568" s="189"/>
      <c r="F568" s="165"/>
      <c r="G568" s="186"/>
      <c r="M568" s="187"/>
    </row>
    <row r="569" spans="4:13" s="184" customFormat="1">
      <c r="D569" s="189"/>
      <c r="E569" s="189"/>
      <c r="F569" s="165"/>
      <c r="G569" s="186"/>
      <c r="M569" s="187"/>
    </row>
    <row r="570" spans="4:13" s="184" customFormat="1">
      <c r="D570" s="189"/>
      <c r="E570" s="189"/>
      <c r="F570" s="165"/>
      <c r="G570" s="186"/>
      <c r="M570" s="187"/>
    </row>
    <row r="571" spans="4:13" s="184" customFormat="1">
      <c r="D571" s="189"/>
      <c r="E571" s="189"/>
      <c r="F571" s="165"/>
      <c r="G571" s="186"/>
      <c r="M571" s="187"/>
    </row>
    <row r="572" spans="4:13" s="184" customFormat="1">
      <c r="D572" s="189"/>
      <c r="E572" s="189"/>
      <c r="F572" s="165"/>
      <c r="G572" s="186"/>
      <c r="M572" s="187"/>
    </row>
    <row r="573" spans="4:13" s="184" customFormat="1">
      <c r="D573" s="189"/>
      <c r="E573" s="189"/>
      <c r="F573" s="165"/>
      <c r="G573" s="186"/>
      <c r="M573" s="187"/>
    </row>
    <row r="574" spans="4:13" s="184" customFormat="1">
      <c r="D574" s="189"/>
      <c r="E574" s="189"/>
      <c r="F574" s="165"/>
      <c r="G574" s="186"/>
      <c r="M574" s="187"/>
    </row>
    <row r="575" spans="4:13" s="184" customFormat="1">
      <c r="D575" s="189"/>
      <c r="E575" s="189"/>
      <c r="F575" s="165"/>
      <c r="G575" s="186"/>
      <c r="M575" s="187"/>
    </row>
    <row r="576" spans="4:13" s="184" customFormat="1">
      <c r="D576" s="189"/>
      <c r="E576" s="189"/>
      <c r="F576" s="165"/>
      <c r="G576" s="186"/>
      <c r="M576" s="187"/>
    </row>
    <row r="577" spans="1:55" s="184" customFormat="1">
      <c r="D577" s="189"/>
      <c r="E577" s="189"/>
      <c r="F577" s="165"/>
      <c r="G577" s="186"/>
      <c r="M577" s="187"/>
    </row>
    <row r="578" spans="1:55" s="184" customFormat="1">
      <c r="D578" s="189"/>
      <c r="E578" s="189"/>
      <c r="F578" s="165"/>
      <c r="G578" s="186"/>
      <c r="M578" s="187"/>
    </row>
    <row r="579" spans="1:55" s="184" customFormat="1">
      <c r="D579" s="189"/>
      <c r="E579" s="189"/>
      <c r="F579" s="165"/>
      <c r="G579" s="186"/>
      <c r="M579" s="187"/>
    </row>
    <row r="580" spans="1:55" s="184" customFormat="1">
      <c r="D580" s="189"/>
      <c r="E580" s="189"/>
      <c r="F580" s="165"/>
      <c r="G580" s="186"/>
      <c r="M580" s="187"/>
    </row>
    <row r="581" spans="1:55" s="184" customFormat="1">
      <c r="D581" s="189"/>
      <c r="E581" s="189"/>
      <c r="F581" s="165"/>
      <c r="G581" s="186"/>
      <c r="M581" s="187"/>
    </row>
    <row r="582" spans="1:55" s="184" customFormat="1">
      <c r="D582" s="189"/>
      <c r="E582" s="189"/>
      <c r="F582" s="165"/>
      <c r="G582" s="186"/>
      <c r="M582" s="187"/>
    </row>
    <row r="583" spans="1:55" s="184" customFormat="1">
      <c r="D583" s="189"/>
      <c r="E583" s="189"/>
      <c r="F583" s="165"/>
      <c r="G583" s="186"/>
      <c r="M583" s="187"/>
    </row>
    <row r="584" spans="1:55" s="184" customFormat="1">
      <c r="D584" s="189"/>
      <c r="E584" s="189"/>
      <c r="F584" s="165"/>
      <c r="G584" s="5"/>
      <c r="H584" s="4"/>
      <c r="I584" s="4"/>
      <c r="J584" s="4"/>
      <c r="K584" s="4"/>
      <c r="L584" s="4"/>
      <c r="M584" s="187"/>
    </row>
    <row r="585" spans="1:55" s="184" customFormat="1">
      <c r="D585" s="189"/>
      <c r="E585" s="189"/>
      <c r="F585" s="165"/>
      <c r="G585" s="5"/>
      <c r="H585" s="4"/>
      <c r="I585" s="4"/>
      <c r="J585" s="4"/>
      <c r="K585" s="4"/>
      <c r="L585" s="4"/>
      <c r="M585" s="187"/>
    </row>
    <row r="586" spans="1:55" s="184" customFormat="1">
      <c r="A586" s="4"/>
      <c r="B586" s="4"/>
      <c r="C586" s="4"/>
      <c r="D586" s="6"/>
      <c r="E586" s="6"/>
      <c r="F586" s="165"/>
      <c r="G586" s="5"/>
      <c r="H586" s="4"/>
      <c r="I586" s="4"/>
      <c r="J586" s="4"/>
      <c r="K586" s="4"/>
      <c r="L586" s="4"/>
      <c r="M586" s="187"/>
    </row>
    <row r="587" spans="1:55">
      <c r="N587" s="184"/>
      <c r="O587" s="184"/>
      <c r="P587" s="184"/>
      <c r="Q587" s="18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row>
  </sheetData>
  <mergeCells count="17">
    <mergeCell ref="A56:A65"/>
    <mergeCell ref="H50:H53"/>
    <mergeCell ref="D6:E6"/>
    <mergeCell ref="G6:J6"/>
    <mergeCell ref="H44:H46"/>
    <mergeCell ref="H47:H49"/>
    <mergeCell ref="H40:H43"/>
    <mergeCell ref="H64:H72"/>
    <mergeCell ref="H73:H75"/>
    <mergeCell ref="H76:H79"/>
    <mergeCell ref="N6:O6"/>
    <mergeCell ref="P6:Q6"/>
    <mergeCell ref="H38:H39"/>
    <mergeCell ref="K6:L6"/>
    <mergeCell ref="H8:H10"/>
    <mergeCell ref="H13:H36"/>
    <mergeCell ref="H54:H63"/>
  </mergeCells>
  <phoneticPr fontId="46" type="noConversion"/>
  <conditionalFormatting sqref="D8:E52 D54:E80">
    <cfRule type="expression" dxfId="56" priority="3">
      <formula>ISNUMBER(D8)</formula>
    </cfRule>
  </conditionalFormatting>
  <pageMargins left="0.25" right="0.25" top="0.75" bottom="0.75" header="0.3" footer="0.3"/>
  <pageSetup paperSize="9" scale="80" fitToWidth="0" orientation="portrait" r:id="rId1"/>
</worksheet>
</file>

<file path=xl/worksheets/sheet7.xml><?xml version="1.0" encoding="utf-8"?>
<worksheet xmlns="http://schemas.openxmlformats.org/spreadsheetml/2006/main" xmlns:r="http://schemas.openxmlformats.org/officeDocument/2006/relationships">
  <sheetPr>
    <tabColor rgb="FFFF0000"/>
  </sheetPr>
  <dimension ref="A1:X98"/>
  <sheetViews>
    <sheetView zoomScale="70" zoomScaleNormal="70" workbookViewId="0">
      <pane ySplit="7" topLeftCell="A8" activePane="bottomLeft" state="frozen"/>
      <selection pane="bottomLeft" activeCell="A8" sqref="A8"/>
    </sheetView>
  </sheetViews>
  <sheetFormatPr defaultRowHeight="12.75"/>
  <cols>
    <col min="1" max="1" width="5.7109375" style="375" customWidth="1"/>
    <col min="2" max="2" width="97.5703125" style="375" customWidth="1"/>
    <col min="3" max="3" width="11.28515625" style="375" customWidth="1"/>
    <col min="4" max="4" width="10.85546875" style="373" customWidth="1"/>
    <col min="5" max="5" width="10.5703125" style="373" customWidth="1"/>
    <col min="6" max="6" width="8.7109375" style="373" customWidth="1"/>
    <col min="7" max="7" width="9.140625" style="375"/>
    <col min="8" max="8" width="19.85546875" style="375" customWidth="1"/>
    <col min="9" max="9" width="9.140625" style="375"/>
    <col min="10" max="10" width="91.5703125" style="375" customWidth="1"/>
    <col min="11" max="11" width="11.42578125" style="375" customWidth="1"/>
    <col min="12" max="12" width="10.28515625" style="375" customWidth="1"/>
    <col min="13" max="13" width="8.7109375" style="373" customWidth="1"/>
    <col min="14" max="14" width="9.7109375" style="375" bestFit="1" customWidth="1"/>
    <col min="15" max="15" width="68.5703125" style="375" bestFit="1" customWidth="1"/>
    <col min="16" max="16" width="9.85546875" style="375" customWidth="1"/>
    <col min="17" max="17" width="10.42578125" style="375" customWidth="1"/>
    <col min="18" max="16384" width="9.140625" style="375"/>
  </cols>
  <sheetData>
    <row r="1" spans="1:24" s="378" customFormat="1" ht="21">
      <c r="A1" s="377" t="s">
        <v>718</v>
      </c>
      <c r="E1" s="379"/>
      <c r="F1" s="379"/>
      <c r="G1" s="379"/>
      <c r="H1" s="379"/>
      <c r="I1" s="379"/>
      <c r="J1" s="380"/>
      <c r="K1" s="381"/>
      <c r="L1" s="381"/>
      <c r="M1" s="381"/>
      <c r="N1" s="380"/>
      <c r="O1" s="381"/>
      <c r="V1" s="379"/>
      <c r="W1" s="382"/>
      <c r="X1" s="382"/>
    </row>
    <row r="2" spans="1:24" s="362" customFormat="1" ht="15.75">
      <c r="A2" s="26" t="s">
        <v>638</v>
      </c>
      <c r="C2" s="218" t="s">
        <v>400</v>
      </c>
      <c r="D2" s="179"/>
      <c r="E2" s="177" t="s">
        <v>444</v>
      </c>
      <c r="F2" s="383"/>
      <c r="H2" s="28"/>
      <c r="I2" s="28"/>
      <c r="J2" s="28"/>
      <c r="K2" s="28"/>
      <c r="M2" s="29"/>
      <c r="N2" s="384"/>
      <c r="P2" s="31"/>
      <c r="Q2" s="31"/>
      <c r="R2" s="31"/>
      <c r="V2" s="29"/>
    </row>
    <row r="3" spans="1:24" s="362" customFormat="1" ht="18.75">
      <c r="A3" s="757" t="s">
        <v>867</v>
      </c>
      <c r="B3" s="263"/>
      <c r="C3" s="199"/>
      <c r="D3" s="198"/>
      <c r="E3" s="177" t="s">
        <v>445</v>
      </c>
      <c r="F3" s="383"/>
      <c r="I3" s="29"/>
      <c r="J3" s="384"/>
      <c r="M3" s="29"/>
      <c r="N3" s="384"/>
      <c r="V3" s="29"/>
    </row>
    <row r="4" spans="1:24" s="362" customFormat="1" ht="15.75">
      <c r="A4" s="757" t="s">
        <v>866</v>
      </c>
      <c r="B4" s="26"/>
      <c r="C4" s="199"/>
      <c r="D4" s="196"/>
      <c r="E4" s="177" t="s">
        <v>679</v>
      </c>
      <c r="F4" s="383"/>
      <c r="I4" s="29"/>
      <c r="J4" s="384"/>
      <c r="M4" s="29"/>
      <c r="N4" s="384"/>
      <c r="P4" s="32"/>
      <c r="Q4" s="32"/>
      <c r="R4" s="32"/>
      <c r="V4" s="29"/>
    </row>
    <row r="5" spans="1:24" s="362" customFormat="1" ht="15.75">
      <c r="A5" s="757"/>
      <c r="B5" s="26"/>
      <c r="C5" s="199"/>
      <c r="D5" s="217"/>
      <c r="E5" s="171" t="s">
        <v>611</v>
      </c>
      <c r="F5" s="383"/>
      <c r="I5" s="29"/>
      <c r="J5" s="384"/>
      <c r="M5" s="29"/>
      <c r="N5" s="384"/>
      <c r="P5" s="32"/>
      <c r="Q5" s="32"/>
      <c r="R5" s="32"/>
      <c r="V5" s="29"/>
    </row>
    <row r="6" spans="1:24" ht="15" customHeight="1">
      <c r="A6" s="385" t="s">
        <v>639</v>
      </c>
      <c r="B6" s="386"/>
      <c r="C6" s="386"/>
      <c r="D6" s="848"/>
      <c r="E6" s="849"/>
      <c r="F6" s="387"/>
      <c r="G6" s="818" t="s">
        <v>402</v>
      </c>
      <c r="H6" s="819"/>
      <c r="I6" s="819"/>
      <c r="J6" s="811"/>
      <c r="K6" s="820" t="s">
        <v>401</v>
      </c>
      <c r="L6" s="821"/>
      <c r="M6" s="388"/>
      <c r="N6" s="810" t="s">
        <v>403</v>
      </c>
      <c r="O6" s="811"/>
      <c r="P6" s="812" t="s">
        <v>401</v>
      </c>
      <c r="Q6" s="813"/>
    </row>
    <row r="7" spans="1:24" ht="52.5" customHeight="1">
      <c r="A7" s="389" t="s">
        <v>0</v>
      </c>
      <c r="B7" s="390" t="s">
        <v>1</v>
      </c>
      <c r="C7" s="391" t="s">
        <v>2</v>
      </c>
      <c r="D7" s="392" t="s">
        <v>828</v>
      </c>
      <c r="E7" s="392" t="s">
        <v>829</v>
      </c>
      <c r="F7" s="393"/>
      <c r="G7" s="747" t="s">
        <v>859</v>
      </c>
      <c r="H7" s="43" t="s">
        <v>409</v>
      </c>
      <c r="I7" s="747" t="s">
        <v>860</v>
      </c>
      <c r="J7" s="43" t="s">
        <v>404</v>
      </c>
      <c r="K7" s="42" t="s">
        <v>828</v>
      </c>
      <c r="L7" s="42" t="s">
        <v>829</v>
      </c>
      <c r="M7" s="394"/>
      <c r="N7" s="44" t="s">
        <v>0</v>
      </c>
      <c r="O7" s="45" t="s">
        <v>406</v>
      </c>
      <c r="P7" s="46" t="s">
        <v>680</v>
      </c>
      <c r="Q7" s="46" t="s">
        <v>681</v>
      </c>
    </row>
    <row r="8" spans="1:24" ht="15">
      <c r="A8" s="340" t="s">
        <v>3</v>
      </c>
      <c r="B8" s="395" t="s">
        <v>79</v>
      </c>
      <c r="C8" s="396" t="s">
        <v>4</v>
      </c>
      <c r="D8" s="126"/>
      <c r="E8" s="126"/>
      <c r="F8" s="397"/>
      <c r="G8" s="340" t="s">
        <v>3</v>
      </c>
      <c r="H8" s="830" t="s">
        <v>137</v>
      </c>
      <c r="I8" s="344" t="s">
        <v>4</v>
      </c>
      <c r="J8" s="350" t="s">
        <v>79</v>
      </c>
      <c r="K8" s="369" t="str">
        <f t="shared" ref="K8:L10" si="0">IF(ISNUMBER(D8),D8,"")</f>
        <v/>
      </c>
      <c r="L8" s="369" t="str">
        <f t="shared" si="0"/>
        <v/>
      </c>
      <c r="M8" s="399"/>
      <c r="N8" s="400" t="s">
        <v>324</v>
      </c>
      <c r="O8" s="401" t="s">
        <v>325</v>
      </c>
      <c r="P8" s="420" t="str">
        <f>K73</f>
        <v/>
      </c>
      <c r="Q8" s="420">
        <f>L73</f>
        <v>8</v>
      </c>
    </row>
    <row r="9" spans="1:24" ht="15">
      <c r="A9" s="347"/>
      <c r="B9" s="395" t="s">
        <v>139</v>
      </c>
      <c r="C9" s="396" t="s">
        <v>138</v>
      </c>
      <c r="D9" s="126"/>
      <c r="E9" s="126"/>
      <c r="F9" s="397"/>
      <c r="G9" s="347"/>
      <c r="H9" s="834"/>
      <c r="I9" s="344" t="s">
        <v>138</v>
      </c>
      <c r="J9" s="350" t="s">
        <v>139</v>
      </c>
      <c r="K9" s="369" t="str">
        <f t="shared" si="0"/>
        <v/>
      </c>
      <c r="L9" s="369" t="str">
        <f t="shared" si="0"/>
        <v/>
      </c>
      <c r="M9" s="399"/>
      <c r="N9" s="400" t="s">
        <v>326</v>
      </c>
      <c r="O9" s="401" t="s">
        <v>327</v>
      </c>
      <c r="P9" s="420" t="str">
        <f>K75</f>
        <v/>
      </c>
      <c r="Q9" s="420" t="str">
        <f>L75</f>
        <v/>
      </c>
    </row>
    <row r="10" spans="1:24" ht="15">
      <c r="A10" s="348"/>
      <c r="B10" s="395" t="s">
        <v>80</v>
      </c>
      <c r="C10" s="396" t="s">
        <v>81</v>
      </c>
      <c r="D10" s="126"/>
      <c r="E10" s="126"/>
      <c r="F10" s="397"/>
      <c r="G10" s="348"/>
      <c r="H10" s="831"/>
      <c r="I10" s="344" t="s">
        <v>81</v>
      </c>
      <c r="J10" s="350" t="s">
        <v>80</v>
      </c>
      <c r="K10" s="369" t="str">
        <f t="shared" si="0"/>
        <v/>
      </c>
      <c r="L10" s="369" t="str">
        <f t="shared" si="0"/>
        <v/>
      </c>
      <c r="M10" s="399"/>
      <c r="N10" s="400" t="s">
        <v>328</v>
      </c>
      <c r="O10" s="401" t="s">
        <v>130</v>
      </c>
      <c r="P10" s="420" t="str">
        <f>K74</f>
        <v/>
      </c>
      <c r="Q10" s="420">
        <f>L74</f>
        <v>14.123999999999999</v>
      </c>
    </row>
    <row r="11" spans="1:24" ht="15">
      <c r="A11" s="349" t="s">
        <v>5</v>
      </c>
      <c r="B11" s="395" t="s">
        <v>82</v>
      </c>
      <c r="C11" s="396" t="s">
        <v>7</v>
      </c>
      <c r="D11" s="126"/>
      <c r="E11" s="126">
        <v>31.526</v>
      </c>
      <c r="F11" s="397"/>
      <c r="G11" s="349" t="s">
        <v>5</v>
      </c>
      <c r="H11" s="350" t="s">
        <v>6</v>
      </c>
      <c r="I11" s="344" t="s">
        <v>7</v>
      </c>
      <c r="J11" s="350" t="s">
        <v>82</v>
      </c>
      <c r="K11" s="369" t="str">
        <f>IF(OR(ISNUMBER(D11),ISNUMBER(D88)),SUM(D11,D88),"")</f>
        <v/>
      </c>
      <c r="L11" s="369">
        <f>IF(OR(ISNUMBER(E11),ISNUMBER(E88)),SUM(E11,E88),"")</f>
        <v>31.526</v>
      </c>
      <c r="M11" s="399"/>
      <c r="N11" s="400" t="s">
        <v>329</v>
      </c>
      <c r="O11" s="401" t="s">
        <v>330</v>
      </c>
      <c r="P11" s="421" t="str">
        <f>K44</f>
        <v/>
      </c>
      <c r="Q11" s="421" t="str">
        <f>L43</f>
        <v/>
      </c>
    </row>
    <row r="12" spans="1:24" ht="15">
      <c r="A12" s="348" t="s">
        <v>8</v>
      </c>
      <c r="B12" s="395" t="s">
        <v>83</v>
      </c>
      <c r="C12" s="396" t="s">
        <v>9</v>
      </c>
      <c r="D12" s="126"/>
      <c r="E12" s="664">
        <f>[1]C100!E10+[1]C100!E16</f>
        <v>0.6</v>
      </c>
      <c r="F12" s="397"/>
      <c r="G12" s="349" t="s">
        <v>8</v>
      </c>
      <c r="H12" s="350" t="s">
        <v>140</v>
      </c>
      <c r="I12" s="344" t="s">
        <v>9</v>
      </c>
      <c r="J12" s="350" t="s">
        <v>83</v>
      </c>
      <c r="K12" s="369" t="str">
        <f t="shared" ref="K12:K37" si="1">IF(ISNUMBER(D12),D12,"")</f>
        <v/>
      </c>
      <c r="L12" s="369">
        <f t="shared" ref="L12:L37" si="2">IF(ISNUMBER(E12),E12,"")</f>
        <v>0.6</v>
      </c>
      <c r="M12" s="399"/>
      <c r="N12" s="400" t="s">
        <v>331</v>
      </c>
      <c r="O12" s="401" t="s">
        <v>332</v>
      </c>
      <c r="P12" s="421" t="str">
        <f>K46</f>
        <v/>
      </c>
      <c r="Q12" s="421" t="str">
        <f>L45</f>
        <v/>
      </c>
    </row>
    <row r="13" spans="1:24" ht="15">
      <c r="A13" s="340" t="s">
        <v>10</v>
      </c>
      <c r="B13" s="395" t="s">
        <v>84</v>
      </c>
      <c r="C13" s="396" t="s">
        <v>12</v>
      </c>
      <c r="D13" s="126"/>
      <c r="E13" s="126"/>
      <c r="F13" s="397"/>
      <c r="G13" s="340" t="s">
        <v>10</v>
      </c>
      <c r="H13" s="830" t="s">
        <v>11</v>
      </c>
      <c r="I13" s="344" t="s">
        <v>12</v>
      </c>
      <c r="J13" s="350" t="s">
        <v>84</v>
      </c>
      <c r="K13" s="369" t="str">
        <f t="shared" si="1"/>
        <v/>
      </c>
      <c r="L13" s="369" t="str">
        <f t="shared" si="2"/>
        <v/>
      </c>
      <c r="M13" s="399"/>
      <c r="N13" s="400" t="s">
        <v>333</v>
      </c>
      <c r="O13" s="401" t="s">
        <v>334</v>
      </c>
      <c r="P13" s="421" t="str">
        <f>K43</f>
        <v/>
      </c>
      <c r="Q13" s="421">
        <f>L42</f>
        <v>43.760999999999996</v>
      </c>
    </row>
    <row r="14" spans="1:24" ht="15">
      <c r="A14" s="347"/>
      <c r="B14" s="395" t="s">
        <v>85</v>
      </c>
      <c r="C14" s="396" t="s">
        <v>13</v>
      </c>
      <c r="D14" s="126"/>
      <c r="E14" s="126">
        <v>96</v>
      </c>
      <c r="F14" s="397"/>
      <c r="G14" s="347"/>
      <c r="H14" s="834"/>
      <c r="I14" s="344" t="s">
        <v>13</v>
      </c>
      <c r="J14" s="350" t="s">
        <v>85</v>
      </c>
      <c r="K14" s="369" t="str">
        <f t="shared" si="1"/>
        <v/>
      </c>
      <c r="L14" s="369">
        <f t="shared" si="2"/>
        <v>96</v>
      </c>
      <c r="M14" s="399"/>
      <c r="N14" s="400" t="s">
        <v>335</v>
      </c>
      <c r="O14" s="401" t="s">
        <v>336</v>
      </c>
      <c r="P14" s="421" t="str">
        <f>K9</f>
        <v/>
      </c>
      <c r="Q14" s="421" t="str">
        <f>L9</f>
        <v/>
      </c>
    </row>
    <row r="15" spans="1:24" ht="15">
      <c r="A15" s="347"/>
      <c r="B15" s="395" t="s">
        <v>86</v>
      </c>
      <c r="C15" s="396" t="s">
        <v>14</v>
      </c>
      <c r="D15" s="126"/>
      <c r="E15" s="665">
        <v>1.55E-2</v>
      </c>
      <c r="F15" s="397"/>
      <c r="G15" s="347"/>
      <c r="H15" s="834"/>
      <c r="I15" s="344" t="s">
        <v>14</v>
      </c>
      <c r="J15" s="350" t="s">
        <v>86</v>
      </c>
      <c r="K15" s="369" t="str">
        <f t="shared" si="1"/>
        <v/>
      </c>
      <c r="L15" s="369">
        <f t="shared" si="2"/>
        <v>1.55E-2</v>
      </c>
      <c r="M15" s="399"/>
      <c r="N15" s="400" t="s">
        <v>337</v>
      </c>
      <c r="O15" s="401" t="s">
        <v>322</v>
      </c>
      <c r="P15" s="421" t="str">
        <f t="shared" ref="P15:P16" si="3">K47</f>
        <v/>
      </c>
      <c r="Q15" s="421" t="str">
        <f>L46</f>
        <v/>
      </c>
    </row>
    <row r="16" spans="1:24" ht="15">
      <c r="A16" s="347"/>
      <c r="B16" s="395" t="s">
        <v>87</v>
      </c>
      <c r="C16" s="396" t="s">
        <v>15</v>
      </c>
      <c r="D16" s="126"/>
      <c r="E16" s="126"/>
      <c r="F16" s="397"/>
      <c r="G16" s="347"/>
      <c r="H16" s="834"/>
      <c r="I16" s="344" t="s">
        <v>15</v>
      </c>
      <c r="J16" s="350" t="s">
        <v>87</v>
      </c>
      <c r="K16" s="369" t="str">
        <f t="shared" si="1"/>
        <v/>
      </c>
      <c r="L16" s="369" t="str">
        <f t="shared" si="2"/>
        <v/>
      </c>
      <c r="M16" s="399"/>
      <c r="N16" s="400" t="s">
        <v>338</v>
      </c>
      <c r="O16" s="401" t="s">
        <v>339</v>
      </c>
      <c r="P16" s="421" t="str">
        <f t="shared" si="3"/>
        <v/>
      </c>
      <c r="Q16" s="421">
        <f>L47</f>
        <v>64.180000000000007</v>
      </c>
    </row>
    <row r="17" spans="1:17" ht="15">
      <c r="A17" s="347"/>
      <c r="B17" s="395" t="s">
        <v>88</v>
      </c>
      <c r="C17" s="396" t="s">
        <v>16</v>
      </c>
      <c r="D17" s="126"/>
      <c r="E17" s="126"/>
      <c r="F17" s="397"/>
      <c r="G17" s="347"/>
      <c r="H17" s="834"/>
      <c r="I17" s="344" t="s">
        <v>16</v>
      </c>
      <c r="J17" s="350" t="s">
        <v>88</v>
      </c>
      <c r="K17" s="369" t="str">
        <f t="shared" si="1"/>
        <v/>
      </c>
      <c r="L17" s="369" t="str">
        <f t="shared" si="2"/>
        <v/>
      </c>
      <c r="M17" s="399"/>
      <c r="N17" s="400" t="s">
        <v>340</v>
      </c>
      <c r="O17" s="401" t="s">
        <v>341</v>
      </c>
      <c r="P17" s="421" t="str">
        <f>K54</f>
        <v/>
      </c>
      <c r="Q17" s="421">
        <f>L54</f>
        <v>22</v>
      </c>
    </row>
    <row r="18" spans="1:17" ht="15">
      <c r="A18" s="347"/>
      <c r="B18" s="395" t="s">
        <v>89</v>
      </c>
      <c r="C18" s="396" t="s">
        <v>17</v>
      </c>
      <c r="D18" s="126"/>
      <c r="E18" s="665">
        <v>2.4020000000000001</v>
      </c>
      <c r="F18" s="397"/>
      <c r="G18" s="347"/>
      <c r="H18" s="834"/>
      <c r="I18" s="344" t="s">
        <v>17</v>
      </c>
      <c r="J18" s="350" t="s">
        <v>89</v>
      </c>
      <c r="K18" s="369" t="str">
        <f t="shared" si="1"/>
        <v/>
      </c>
      <c r="L18" s="369">
        <f t="shared" si="2"/>
        <v>2.4020000000000001</v>
      </c>
      <c r="M18" s="399"/>
      <c r="N18" s="400" t="s">
        <v>342</v>
      </c>
      <c r="O18" s="401" t="s">
        <v>343</v>
      </c>
      <c r="P18" s="421" t="str">
        <f>K49</f>
        <v/>
      </c>
      <c r="Q18" s="421">
        <f>L48</f>
        <v>18.600000000000001</v>
      </c>
    </row>
    <row r="19" spans="1:17" ht="15">
      <c r="A19" s="347"/>
      <c r="B19" s="395" t="s">
        <v>90</v>
      </c>
      <c r="C19" s="396" t="s">
        <v>18</v>
      </c>
      <c r="D19" s="126"/>
      <c r="E19" s="126"/>
      <c r="F19" s="397"/>
      <c r="G19" s="347"/>
      <c r="H19" s="834"/>
      <c r="I19" s="344" t="s">
        <v>18</v>
      </c>
      <c r="J19" s="350" t="s">
        <v>90</v>
      </c>
      <c r="K19" s="369" t="str">
        <f t="shared" si="1"/>
        <v/>
      </c>
      <c r="L19" s="369" t="str">
        <f t="shared" si="2"/>
        <v/>
      </c>
      <c r="M19" s="399"/>
      <c r="N19" s="400" t="s">
        <v>344</v>
      </c>
      <c r="O19" s="401" t="s">
        <v>345</v>
      </c>
      <c r="P19" s="421" t="str">
        <f t="shared" ref="P19:P20" si="4">K38</f>
        <v/>
      </c>
      <c r="Q19" s="421" t="e">
        <f>#REF!</f>
        <v>#REF!</v>
      </c>
    </row>
    <row r="20" spans="1:17" ht="15">
      <c r="A20" s="347"/>
      <c r="B20" s="395" t="s">
        <v>141</v>
      </c>
      <c r="C20" s="396" t="s">
        <v>19</v>
      </c>
      <c r="D20" s="126"/>
      <c r="E20" s="126"/>
      <c r="F20" s="397"/>
      <c r="G20" s="347"/>
      <c r="H20" s="834"/>
      <c r="I20" s="344" t="s">
        <v>19</v>
      </c>
      <c r="J20" s="350" t="s">
        <v>141</v>
      </c>
      <c r="K20" s="369" t="str">
        <f t="shared" si="1"/>
        <v/>
      </c>
      <c r="L20" s="369" t="str">
        <f t="shared" si="2"/>
        <v/>
      </c>
      <c r="M20" s="399"/>
      <c r="N20" s="400" t="s">
        <v>346</v>
      </c>
      <c r="O20" s="401" t="s">
        <v>347</v>
      </c>
      <c r="P20" s="421" t="str">
        <f t="shared" si="4"/>
        <v/>
      </c>
      <c r="Q20" s="421" t="str">
        <f>L38</f>
        <v/>
      </c>
    </row>
    <row r="21" spans="1:17" ht="15">
      <c r="A21" s="347"/>
      <c r="B21" s="395" t="s">
        <v>143</v>
      </c>
      <c r="C21" s="396" t="s">
        <v>142</v>
      </c>
      <c r="D21" s="126"/>
      <c r="E21" s="126"/>
      <c r="F21" s="397"/>
      <c r="G21" s="347"/>
      <c r="H21" s="834"/>
      <c r="I21" s="344" t="s">
        <v>142</v>
      </c>
      <c r="J21" s="350" t="s">
        <v>143</v>
      </c>
      <c r="K21" s="369" t="str">
        <f t="shared" si="1"/>
        <v/>
      </c>
      <c r="L21" s="369" t="str">
        <f t="shared" si="2"/>
        <v/>
      </c>
      <c r="M21" s="399"/>
      <c r="N21" s="400" t="s">
        <v>348</v>
      </c>
      <c r="O21" s="401" t="s">
        <v>349</v>
      </c>
      <c r="P21" s="421" t="str">
        <f>K76</f>
        <v/>
      </c>
      <c r="Q21" s="421">
        <f>L76</f>
        <v>6.5909999999999993</v>
      </c>
    </row>
    <row r="22" spans="1:17" ht="15">
      <c r="A22" s="347"/>
      <c r="B22" s="395" t="s">
        <v>91</v>
      </c>
      <c r="C22" s="396" t="s">
        <v>20</v>
      </c>
      <c r="D22" s="126"/>
      <c r="E22" s="126"/>
      <c r="F22" s="397"/>
      <c r="G22" s="347"/>
      <c r="H22" s="834"/>
      <c r="I22" s="344" t="s">
        <v>20</v>
      </c>
      <c r="J22" s="350" t="s">
        <v>91</v>
      </c>
      <c r="K22" s="369" t="str">
        <f t="shared" si="1"/>
        <v/>
      </c>
      <c r="L22" s="369" t="str">
        <f t="shared" si="2"/>
        <v/>
      </c>
      <c r="M22" s="399"/>
      <c r="N22" s="400" t="s">
        <v>350</v>
      </c>
      <c r="O22" s="401" t="s">
        <v>351</v>
      </c>
      <c r="P22" s="421" t="str">
        <f>IF(OR(ISNUMBER(K34),ISNUMBER(K35),ISNUMBER(K37),ISNUMBER(K79)),SUM(K34:K35,K37,K79),"")</f>
        <v/>
      </c>
      <c r="Q22" s="421">
        <f>IF(OR(ISNUMBER(L34),ISNUMBER(L35),ISNUMBER(L37),ISNUMBER(L79)),SUM(L34:L35,L37,L79),"")</f>
        <v>0.24</v>
      </c>
    </row>
    <row r="23" spans="1:17" ht="15">
      <c r="A23" s="347"/>
      <c r="B23" s="395" t="s">
        <v>144</v>
      </c>
      <c r="C23" s="396" t="s">
        <v>21</v>
      </c>
      <c r="D23" s="126"/>
      <c r="E23" s="126"/>
      <c r="F23" s="397"/>
      <c r="G23" s="347"/>
      <c r="H23" s="834"/>
      <c r="I23" s="344" t="s">
        <v>21</v>
      </c>
      <c r="J23" s="350" t="s">
        <v>144</v>
      </c>
      <c r="K23" s="369" t="str">
        <f t="shared" si="1"/>
        <v/>
      </c>
      <c r="L23" s="369" t="str">
        <f t="shared" si="2"/>
        <v/>
      </c>
      <c r="M23" s="399"/>
      <c r="N23" s="400" t="s">
        <v>352</v>
      </c>
      <c r="O23" s="401" t="s">
        <v>353</v>
      </c>
      <c r="P23" s="421" t="str">
        <f>K77</f>
        <v/>
      </c>
      <c r="Q23" s="421">
        <f>L77</f>
        <v>6.5250000000000004</v>
      </c>
    </row>
    <row r="24" spans="1:17" ht="15">
      <c r="A24" s="347"/>
      <c r="B24" s="395" t="s">
        <v>92</v>
      </c>
      <c r="C24" s="396" t="s">
        <v>22</v>
      </c>
      <c r="D24" s="126"/>
      <c r="E24" s="126"/>
      <c r="F24" s="397"/>
      <c r="G24" s="347"/>
      <c r="H24" s="834"/>
      <c r="I24" s="344" t="s">
        <v>22</v>
      </c>
      <c r="J24" s="350" t="s">
        <v>92</v>
      </c>
      <c r="K24" s="369" t="str">
        <f t="shared" si="1"/>
        <v/>
      </c>
      <c r="L24" s="369" t="str">
        <f t="shared" si="2"/>
        <v/>
      </c>
      <c r="M24" s="399"/>
      <c r="N24" s="400" t="s">
        <v>354</v>
      </c>
      <c r="O24" s="401" t="s">
        <v>355</v>
      </c>
      <c r="P24" s="421" t="str">
        <f>K8</f>
        <v/>
      </c>
      <c r="Q24" s="421" t="str">
        <f>L8</f>
        <v/>
      </c>
    </row>
    <row r="25" spans="1:17" ht="15">
      <c r="A25" s="347"/>
      <c r="B25" s="395" t="s">
        <v>93</v>
      </c>
      <c r="C25" s="396" t="s">
        <v>23</v>
      </c>
      <c r="D25" s="126"/>
      <c r="E25" s="665">
        <v>10413.286</v>
      </c>
      <c r="F25" s="397"/>
      <c r="G25" s="347"/>
      <c r="H25" s="834"/>
      <c r="I25" s="344" t="s">
        <v>23</v>
      </c>
      <c r="J25" s="350" t="s">
        <v>93</v>
      </c>
      <c r="K25" s="369" t="str">
        <f t="shared" si="1"/>
        <v/>
      </c>
      <c r="L25" s="369">
        <f t="shared" si="2"/>
        <v>10413.286</v>
      </c>
      <c r="M25" s="399"/>
      <c r="N25" s="400" t="s">
        <v>356</v>
      </c>
      <c r="O25" s="401" t="s">
        <v>357</v>
      </c>
      <c r="P25" s="421" t="str">
        <f>IF(OR(ISNUMBER(K67),ISNUMBER(K68),ISNUMBER(K70),ISNUMBER(K72)),SUM(K67:K68,K70,K72),"")</f>
        <v/>
      </c>
      <c r="Q25" s="421" t="str">
        <f>IF(OR(ISNUMBER(L67),ISNUMBER(L68),ISNUMBER(L70),ISNUMBER(L72)),SUM(L67:L68,L70,L72),"")</f>
        <v/>
      </c>
    </row>
    <row r="26" spans="1:17" ht="15" customHeight="1">
      <c r="A26" s="347"/>
      <c r="B26" s="395" t="s">
        <v>94</v>
      </c>
      <c r="C26" s="396" t="s">
        <v>24</v>
      </c>
      <c r="D26" s="126"/>
      <c r="E26" s="665">
        <v>111170</v>
      </c>
      <c r="F26" s="397"/>
      <c r="G26" s="347"/>
      <c r="H26" s="834"/>
      <c r="I26" s="344" t="s">
        <v>24</v>
      </c>
      <c r="J26" s="350" t="s">
        <v>94</v>
      </c>
      <c r="K26" s="369" t="str">
        <f t="shared" si="1"/>
        <v/>
      </c>
      <c r="L26" s="369">
        <f t="shared" si="2"/>
        <v>111170</v>
      </c>
      <c r="M26" s="399"/>
      <c r="N26" s="62"/>
      <c r="O26" s="63" t="s">
        <v>407</v>
      </c>
      <c r="P26" s="115"/>
      <c r="Q26" s="116"/>
    </row>
    <row r="27" spans="1:17" ht="15">
      <c r="A27" s="347"/>
      <c r="B27" s="395" t="s">
        <v>145</v>
      </c>
      <c r="C27" s="396" t="s">
        <v>25</v>
      </c>
      <c r="D27" s="126"/>
      <c r="E27" s="126"/>
      <c r="F27" s="397"/>
      <c r="G27" s="347"/>
      <c r="H27" s="834"/>
      <c r="I27" s="344" t="s">
        <v>25</v>
      </c>
      <c r="J27" s="350" t="s">
        <v>145</v>
      </c>
      <c r="K27" s="369" t="str">
        <f t="shared" si="1"/>
        <v/>
      </c>
      <c r="L27" s="369" t="str">
        <f t="shared" si="2"/>
        <v/>
      </c>
      <c r="M27" s="399"/>
      <c r="N27" s="400" t="s">
        <v>358</v>
      </c>
      <c r="O27" s="407" t="s">
        <v>84</v>
      </c>
      <c r="P27" s="420" t="str">
        <f>K13</f>
        <v/>
      </c>
      <c r="Q27" s="420" t="str">
        <f>L13</f>
        <v/>
      </c>
    </row>
    <row r="28" spans="1:17" ht="15">
      <c r="A28" s="347"/>
      <c r="B28" s="395" t="s">
        <v>147</v>
      </c>
      <c r="C28" s="396" t="s">
        <v>146</v>
      </c>
      <c r="D28" s="126"/>
      <c r="E28" s="126"/>
      <c r="F28" s="397"/>
      <c r="G28" s="347"/>
      <c r="H28" s="834"/>
      <c r="I28" s="344" t="s">
        <v>146</v>
      </c>
      <c r="J28" s="350" t="s">
        <v>147</v>
      </c>
      <c r="K28" s="369" t="str">
        <f t="shared" si="1"/>
        <v/>
      </c>
      <c r="L28" s="369" t="str">
        <f t="shared" si="2"/>
        <v/>
      </c>
      <c r="M28" s="399"/>
      <c r="N28" s="400" t="s">
        <v>359</v>
      </c>
      <c r="O28" s="407" t="s">
        <v>90</v>
      </c>
      <c r="P28" s="420" t="str">
        <f>K19</f>
        <v/>
      </c>
      <c r="Q28" s="420" t="str">
        <f>L19</f>
        <v/>
      </c>
    </row>
    <row r="29" spans="1:17" ht="15">
      <c r="A29" s="347"/>
      <c r="B29" s="395" t="s">
        <v>149</v>
      </c>
      <c r="C29" s="396" t="s">
        <v>148</v>
      </c>
      <c r="D29" s="126"/>
      <c r="E29" s="126"/>
      <c r="F29" s="397"/>
      <c r="G29" s="347"/>
      <c r="H29" s="834"/>
      <c r="I29" s="344" t="s">
        <v>148</v>
      </c>
      <c r="J29" s="350" t="s">
        <v>149</v>
      </c>
      <c r="K29" s="369" t="str">
        <f t="shared" si="1"/>
        <v/>
      </c>
      <c r="L29" s="369" t="str">
        <f t="shared" si="2"/>
        <v/>
      </c>
      <c r="M29" s="399"/>
      <c r="N29" s="400" t="s">
        <v>360</v>
      </c>
      <c r="O29" s="407" t="s">
        <v>361</v>
      </c>
      <c r="P29" s="420" t="str">
        <f>K17</f>
        <v/>
      </c>
      <c r="Q29" s="420" t="str">
        <f>L17</f>
        <v/>
      </c>
    </row>
    <row r="30" spans="1:17" ht="15">
      <c r="A30" s="347"/>
      <c r="B30" s="395" t="s">
        <v>150</v>
      </c>
      <c r="C30" s="396" t="s">
        <v>26</v>
      </c>
      <c r="D30" s="126"/>
      <c r="E30" s="126"/>
      <c r="F30" s="397"/>
      <c r="G30" s="347"/>
      <c r="H30" s="834"/>
      <c r="I30" s="344" t="s">
        <v>26</v>
      </c>
      <c r="J30" s="350" t="s">
        <v>150</v>
      </c>
      <c r="K30" s="369" t="str">
        <f t="shared" si="1"/>
        <v/>
      </c>
      <c r="L30" s="369" t="str">
        <f t="shared" si="2"/>
        <v/>
      </c>
      <c r="M30" s="399"/>
      <c r="N30" s="400" t="s">
        <v>362</v>
      </c>
      <c r="O30" s="407" t="s">
        <v>91</v>
      </c>
      <c r="P30" s="420" t="str">
        <f>K22</f>
        <v/>
      </c>
      <c r="Q30" s="420" t="str">
        <f>L22</f>
        <v/>
      </c>
    </row>
    <row r="31" spans="1:17" ht="15">
      <c r="A31" s="347"/>
      <c r="B31" s="395" t="s">
        <v>423</v>
      </c>
      <c r="C31" s="396" t="s">
        <v>27</v>
      </c>
      <c r="D31" s="126"/>
      <c r="E31" s="665">
        <v>3780.1550000000002</v>
      </c>
      <c r="F31" s="397"/>
      <c r="G31" s="347"/>
      <c r="H31" s="834"/>
      <c r="I31" s="344" t="s">
        <v>27</v>
      </c>
      <c r="J31" s="350" t="s">
        <v>95</v>
      </c>
      <c r="K31" s="369" t="str">
        <f t="shared" si="1"/>
        <v/>
      </c>
      <c r="L31" s="369">
        <f t="shared" si="2"/>
        <v>3780.1550000000002</v>
      </c>
      <c r="M31" s="399"/>
      <c r="N31" s="400" t="s">
        <v>363</v>
      </c>
      <c r="O31" s="407" t="s">
        <v>94</v>
      </c>
      <c r="P31" s="420" t="str">
        <f>K26</f>
        <v/>
      </c>
      <c r="Q31" s="420">
        <f>L26</f>
        <v>111170</v>
      </c>
    </row>
    <row r="32" spans="1:17" ht="15">
      <c r="A32" s="347"/>
      <c r="B32" s="395" t="s">
        <v>96</v>
      </c>
      <c r="C32" s="396" t="s">
        <v>28</v>
      </c>
      <c r="D32" s="126"/>
      <c r="E32" s="126"/>
      <c r="F32" s="397"/>
      <c r="G32" s="347"/>
      <c r="H32" s="834"/>
      <c r="I32" s="344" t="s">
        <v>28</v>
      </c>
      <c r="J32" s="350" t="s">
        <v>96</v>
      </c>
      <c r="K32" s="369" t="str">
        <f t="shared" si="1"/>
        <v/>
      </c>
      <c r="L32" s="369" t="str">
        <f t="shared" si="2"/>
        <v/>
      </c>
      <c r="M32" s="399"/>
      <c r="N32" s="400" t="s">
        <v>364</v>
      </c>
      <c r="O32" s="407" t="s">
        <v>87</v>
      </c>
      <c r="P32" s="420" t="str">
        <f>K16</f>
        <v/>
      </c>
      <c r="Q32" s="420" t="str">
        <f>L16</f>
        <v/>
      </c>
    </row>
    <row r="33" spans="1:17" ht="15">
      <c r="A33" s="347"/>
      <c r="B33" s="395" t="s">
        <v>97</v>
      </c>
      <c r="C33" s="396" t="s">
        <v>29</v>
      </c>
      <c r="D33" s="126"/>
      <c r="E33" s="126"/>
      <c r="F33" s="397"/>
      <c r="G33" s="347"/>
      <c r="H33" s="834"/>
      <c r="I33" s="344" t="s">
        <v>29</v>
      </c>
      <c r="J33" s="350" t="s">
        <v>97</v>
      </c>
      <c r="K33" s="369" t="str">
        <f t="shared" si="1"/>
        <v/>
      </c>
      <c r="L33" s="369" t="str">
        <f t="shared" si="2"/>
        <v/>
      </c>
      <c r="M33" s="399"/>
      <c r="N33" s="400" t="s">
        <v>365</v>
      </c>
      <c r="O33" s="407" t="s">
        <v>145</v>
      </c>
      <c r="P33" s="420" t="str">
        <f>K27</f>
        <v/>
      </c>
      <c r="Q33" s="420" t="str">
        <f>L27</f>
        <v/>
      </c>
    </row>
    <row r="34" spans="1:17" ht="15">
      <c r="A34" s="347"/>
      <c r="B34" s="395" t="s">
        <v>98</v>
      </c>
      <c r="C34" s="396" t="s">
        <v>99</v>
      </c>
      <c r="D34" s="126"/>
      <c r="E34" s="126"/>
      <c r="F34" s="397"/>
      <c r="G34" s="347"/>
      <c r="H34" s="834"/>
      <c r="I34" s="344" t="s">
        <v>99</v>
      </c>
      <c r="J34" s="350" t="s">
        <v>98</v>
      </c>
      <c r="K34" s="369" t="str">
        <f t="shared" si="1"/>
        <v/>
      </c>
      <c r="L34" s="369" t="str">
        <f t="shared" si="2"/>
        <v/>
      </c>
      <c r="M34" s="399"/>
      <c r="N34" s="400" t="s">
        <v>366</v>
      </c>
      <c r="O34" s="407" t="s">
        <v>89</v>
      </c>
      <c r="P34" s="420" t="str">
        <f>K18</f>
        <v/>
      </c>
      <c r="Q34" s="420">
        <f>L18</f>
        <v>2.4020000000000001</v>
      </c>
    </row>
    <row r="35" spans="1:17" ht="15">
      <c r="A35" s="347"/>
      <c r="B35" s="395" t="s">
        <v>100</v>
      </c>
      <c r="C35" s="396" t="s">
        <v>101</v>
      </c>
      <c r="D35" s="126"/>
      <c r="E35" s="126"/>
      <c r="F35" s="397"/>
      <c r="G35" s="347"/>
      <c r="H35" s="834"/>
      <c r="I35" s="344" t="s">
        <v>101</v>
      </c>
      <c r="J35" s="350" t="s">
        <v>100</v>
      </c>
      <c r="K35" s="369" t="str">
        <f t="shared" si="1"/>
        <v/>
      </c>
      <c r="L35" s="369" t="str">
        <f t="shared" si="2"/>
        <v/>
      </c>
      <c r="M35" s="399"/>
      <c r="N35" s="400" t="s">
        <v>367</v>
      </c>
      <c r="O35" s="407" t="s">
        <v>141</v>
      </c>
      <c r="P35" s="420" t="str">
        <f>K20</f>
        <v/>
      </c>
      <c r="Q35" s="420" t="str">
        <f>L20</f>
        <v/>
      </c>
    </row>
    <row r="36" spans="1:17" ht="15">
      <c r="A36" s="348"/>
      <c r="B36" s="395" t="s">
        <v>151</v>
      </c>
      <c r="C36" s="396" t="s">
        <v>30</v>
      </c>
      <c r="D36" s="126"/>
      <c r="E36" s="126"/>
      <c r="F36" s="397"/>
      <c r="G36" s="348"/>
      <c r="H36" s="831"/>
      <c r="I36" s="344" t="s">
        <v>30</v>
      </c>
      <c r="J36" s="350" t="s">
        <v>151</v>
      </c>
      <c r="K36" s="369" t="str">
        <f t="shared" si="1"/>
        <v/>
      </c>
      <c r="L36" s="369" t="str">
        <f t="shared" si="2"/>
        <v/>
      </c>
      <c r="M36" s="399"/>
      <c r="N36" s="400" t="s">
        <v>368</v>
      </c>
      <c r="O36" s="407" t="s">
        <v>147</v>
      </c>
      <c r="P36" s="420" t="str">
        <f>K28</f>
        <v/>
      </c>
      <c r="Q36" s="420" t="str">
        <f>L28</f>
        <v/>
      </c>
    </row>
    <row r="37" spans="1:17" ht="15">
      <c r="A37" s="340" t="s">
        <v>31</v>
      </c>
      <c r="B37" s="395" t="s">
        <v>102</v>
      </c>
      <c r="C37" s="396" t="s">
        <v>33</v>
      </c>
      <c r="D37" s="126"/>
      <c r="E37" s="665">
        <v>0.24</v>
      </c>
      <c r="F37" s="397"/>
      <c r="G37" s="340" t="s">
        <v>31</v>
      </c>
      <c r="H37" s="409" t="s">
        <v>32</v>
      </c>
      <c r="I37" s="344" t="s">
        <v>33</v>
      </c>
      <c r="J37" s="350" t="s">
        <v>102</v>
      </c>
      <c r="K37" s="369" t="str">
        <f t="shared" si="1"/>
        <v/>
      </c>
      <c r="L37" s="369">
        <f t="shared" si="2"/>
        <v>0.24</v>
      </c>
      <c r="M37" s="399"/>
      <c r="N37" s="400" t="s">
        <v>369</v>
      </c>
      <c r="O37" s="407" t="s">
        <v>86</v>
      </c>
      <c r="P37" s="420" t="str">
        <f>K15</f>
        <v/>
      </c>
      <c r="Q37" s="420">
        <f>L15</f>
        <v>1.55E-2</v>
      </c>
    </row>
    <row r="38" spans="1:17" ht="15">
      <c r="A38" s="348"/>
      <c r="B38" s="395" t="s">
        <v>135</v>
      </c>
      <c r="C38" s="396" t="s">
        <v>507</v>
      </c>
      <c r="D38" s="126"/>
      <c r="E38" s="126"/>
      <c r="F38" s="397"/>
      <c r="G38" s="340" t="s">
        <v>34</v>
      </c>
      <c r="H38" s="830" t="s">
        <v>152</v>
      </c>
      <c r="I38" s="344" t="s">
        <v>35</v>
      </c>
      <c r="J38" s="350" t="s">
        <v>103</v>
      </c>
      <c r="K38" s="369" t="str">
        <f t="shared" ref="K38:K51" si="5">IF(ISNUMBER(D39),D39,"")</f>
        <v/>
      </c>
      <c r="L38" s="369" t="str">
        <f t="shared" ref="L38:L51" si="6">IF(ISNUMBER(E39),E39,"")</f>
        <v/>
      </c>
      <c r="M38" s="399"/>
      <c r="N38" s="400" t="s">
        <v>370</v>
      </c>
      <c r="O38" s="407" t="s">
        <v>143</v>
      </c>
      <c r="P38" s="420" t="str">
        <f>K21</f>
        <v/>
      </c>
      <c r="Q38" s="420" t="str">
        <f>L21</f>
        <v/>
      </c>
    </row>
    <row r="39" spans="1:17" ht="15">
      <c r="A39" s="347" t="s">
        <v>34</v>
      </c>
      <c r="B39" s="395" t="s">
        <v>103</v>
      </c>
      <c r="C39" s="396" t="s">
        <v>35</v>
      </c>
      <c r="D39" s="126"/>
      <c r="E39" s="126"/>
      <c r="F39" s="397"/>
      <c r="G39" s="348"/>
      <c r="H39" s="831"/>
      <c r="I39" s="344" t="s">
        <v>105</v>
      </c>
      <c r="J39" s="350" t="s">
        <v>104</v>
      </c>
      <c r="K39" s="369" t="str">
        <f t="shared" si="5"/>
        <v/>
      </c>
      <c r="L39" s="369" t="str">
        <f t="shared" si="6"/>
        <v/>
      </c>
      <c r="M39" s="399"/>
      <c r="N39" s="400" t="s">
        <v>371</v>
      </c>
      <c r="O39" s="407" t="s">
        <v>93</v>
      </c>
      <c r="P39" s="420" t="str">
        <f>K25</f>
        <v/>
      </c>
      <c r="Q39" s="420">
        <f>L25</f>
        <v>10413.286</v>
      </c>
    </row>
    <row r="40" spans="1:17" ht="15">
      <c r="A40" s="348"/>
      <c r="B40" s="395" t="s">
        <v>104</v>
      </c>
      <c r="C40" s="396" t="s">
        <v>105</v>
      </c>
      <c r="D40" s="126"/>
      <c r="E40" s="126"/>
      <c r="F40" s="397"/>
      <c r="G40" s="340" t="s">
        <v>37</v>
      </c>
      <c r="H40" s="830" t="s">
        <v>153</v>
      </c>
      <c r="I40" s="344" t="s">
        <v>38</v>
      </c>
      <c r="J40" s="350" t="s">
        <v>106</v>
      </c>
      <c r="K40" s="369" t="str">
        <f t="shared" si="5"/>
        <v/>
      </c>
      <c r="L40" s="369" t="str">
        <f t="shared" si="6"/>
        <v/>
      </c>
      <c r="M40" s="399"/>
      <c r="N40" s="400" t="s">
        <v>372</v>
      </c>
      <c r="O40" s="407" t="s">
        <v>85</v>
      </c>
      <c r="P40" s="420" t="str">
        <f>K14</f>
        <v/>
      </c>
      <c r="Q40" s="420">
        <f>L14</f>
        <v>96</v>
      </c>
    </row>
    <row r="41" spans="1:17" ht="15">
      <c r="A41" s="347" t="s">
        <v>37</v>
      </c>
      <c r="B41" s="395" t="s">
        <v>106</v>
      </c>
      <c r="C41" s="396" t="s">
        <v>38</v>
      </c>
      <c r="D41" s="126"/>
      <c r="E41" s="126"/>
      <c r="F41" s="397"/>
      <c r="G41" s="347"/>
      <c r="H41" s="834"/>
      <c r="I41" s="344" t="s">
        <v>39</v>
      </c>
      <c r="J41" s="350" t="s">
        <v>107</v>
      </c>
      <c r="K41" s="369" t="str">
        <f t="shared" si="5"/>
        <v/>
      </c>
      <c r="L41" s="369">
        <f t="shared" si="6"/>
        <v>201.67</v>
      </c>
      <c r="M41" s="399"/>
      <c r="N41" s="400" t="s">
        <v>373</v>
      </c>
      <c r="O41" s="407" t="s">
        <v>374</v>
      </c>
      <c r="P41" s="420" t="str">
        <f t="shared" ref="P41:Q43" si="7">K10</f>
        <v/>
      </c>
      <c r="Q41" s="420" t="str">
        <f t="shared" si="7"/>
        <v/>
      </c>
    </row>
    <row r="42" spans="1:17" ht="15">
      <c r="A42" s="347"/>
      <c r="B42" s="395" t="s">
        <v>107</v>
      </c>
      <c r="C42" s="396" t="s">
        <v>39</v>
      </c>
      <c r="D42" s="126"/>
      <c r="E42" s="665">
        <v>201.67</v>
      </c>
      <c r="F42" s="397"/>
      <c r="G42" s="347"/>
      <c r="H42" s="834"/>
      <c r="I42" s="344" t="s">
        <v>40</v>
      </c>
      <c r="J42" s="350" t="s">
        <v>108</v>
      </c>
      <c r="K42" s="369" t="str">
        <f t="shared" si="5"/>
        <v/>
      </c>
      <c r="L42" s="369">
        <f t="shared" si="6"/>
        <v>43.760999999999996</v>
      </c>
      <c r="M42" s="399"/>
      <c r="N42" s="400" t="s">
        <v>375</v>
      </c>
      <c r="O42" s="407" t="s">
        <v>82</v>
      </c>
      <c r="P42" s="421" t="str">
        <f t="shared" si="7"/>
        <v/>
      </c>
      <c r="Q42" s="421">
        <f t="shared" si="7"/>
        <v>31.526</v>
      </c>
    </row>
    <row r="43" spans="1:17" ht="15">
      <c r="A43" s="347"/>
      <c r="B43" s="395" t="s">
        <v>108</v>
      </c>
      <c r="C43" s="396" t="s">
        <v>40</v>
      </c>
      <c r="D43" s="126"/>
      <c r="E43" s="665">
        <f>36.961+'[1]Master Sheet'!$F$14</f>
        <v>43.760999999999996</v>
      </c>
      <c r="F43" s="397"/>
      <c r="G43" s="348"/>
      <c r="H43" s="831"/>
      <c r="I43" s="344" t="s">
        <v>41</v>
      </c>
      <c r="J43" s="350" t="s">
        <v>109</v>
      </c>
      <c r="K43" s="369" t="str">
        <f t="shared" si="5"/>
        <v/>
      </c>
      <c r="L43" s="369" t="str">
        <f t="shared" si="6"/>
        <v/>
      </c>
      <c r="M43" s="399"/>
      <c r="N43" s="400" t="s">
        <v>376</v>
      </c>
      <c r="O43" s="407" t="s">
        <v>83</v>
      </c>
      <c r="P43" s="421" t="str">
        <f t="shared" si="7"/>
        <v/>
      </c>
      <c r="Q43" s="421">
        <f t="shared" si="7"/>
        <v>0.6</v>
      </c>
    </row>
    <row r="44" spans="1:17" ht="15">
      <c r="A44" s="348"/>
      <c r="B44" s="395" t="s">
        <v>109</v>
      </c>
      <c r="C44" s="396" t="s">
        <v>41</v>
      </c>
      <c r="D44" s="126"/>
      <c r="E44" s="126"/>
      <c r="F44" s="397"/>
      <c r="G44" s="340" t="s">
        <v>42</v>
      </c>
      <c r="H44" s="830" t="s">
        <v>154</v>
      </c>
      <c r="I44" s="344" t="s">
        <v>43</v>
      </c>
      <c r="J44" s="350" t="s">
        <v>110</v>
      </c>
      <c r="K44" s="369" t="str">
        <f t="shared" si="5"/>
        <v/>
      </c>
      <c r="L44" s="369" t="str">
        <f t="shared" si="6"/>
        <v/>
      </c>
      <c r="M44" s="399"/>
      <c r="N44" s="400" t="s">
        <v>377</v>
      </c>
      <c r="O44" s="407" t="s">
        <v>378</v>
      </c>
      <c r="P44" s="421" t="str">
        <f>K71</f>
        <v/>
      </c>
      <c r="Q44" s="421">
        <f>L71</f>
        <v>1E-3</v>
      </c>
    </row>
    <row r="45" spans="1:17" ht="15">
      <c r="A45" s="347" t="s">
        <v>42</v>
      </c>
      <c r="B45" s="395" t="s">
        <v>110</v>
      </c>
      <c r="C45" s="396" t="s">
        <v>43</v>
      </c>
      <c r="D45" s="126"/>
      <c r="E45" s="126"/>
      <c r="F45" s="397"/>
      <c r="G45" s="347"/>
      <c r="H45" s="834"/>
      <c r="I45" s="344" t="s">
        <v>44</v>
      </c>
      <c r="J45" s="350" t="s">
        <v>111</v>
      </c>
      <c r="K45" s="369" t="str">
        <f t="shared" si="5"/>
        <v/>
      </c>
      <c r="L45" s="369" t="str">
        <f t="shared" si="6"/>
        <v/>
      </c>
      <c r="M45" s="399"/>
      <c r="N45" s="400" t="s">
        <v>379</v>
      </c>
      <c r="O45" s="407" t="s">
        <v>176</v>
      </c>
      <c r="P45" s="421" t="str">
        <f>K45</f>
        <v/>
      </c>
      <c r="Q45" s="421" t="str">
        <f>L44</f>
        <v/>
      </c>
    </row>
    <row r="46" spans="1:17" ht="15">
      <c r="A46" s="347"/>
      <c r="B46" s="395" t="s">
        <v>176</v>
      </c>
      <c r="C46" s="396" t="s">
        <v>44</v>
      </c>
      <c r="D46" s="126"/>
      <c r="E46" s="126"/>
      <c r="F46" s="397"/>
      <c r="G46" s="348"/>
      <c r="H46" s="831"/>
      <c r="I46" s="344" t="s">
        <v>45</v>
      </c>
      <c r="J46" s="350" t="s">
        <v>155</v>
      </c>
      <c r="K46" s="369" t="str">
        <f t="shared" si="5"/>
        <v/>
      </c>
      <c r="L46" s="369" t="str">
        <f t="shared" si="6"/>
        <v/>
      </c>
      <c r="M46" s="399"/>
      <c r="N46" s="400" t="s">
        <v>380</v>
      </c>
      <c r="O46" s="407" t="s">
        <v>381</v>
      </c>
      <c r="P46" s="421" t="str">
        <f>K59</f>
        <v/>
      </c>
      <c r="Q46" s="421" t="str">
        <f>L59</f>
        <v/>
      </c>
    </row>
    <row r="47" spans="1:17" ht="15">
      <c r="A47" s="348"/>
      <c r="B47" s="395" t="s">
        <v>155</v>
      </c>
      <c r="C47" s="396" t="s">
        <v>45</v>
      </c>
      <c r="D47" s="126"/>
      <c r="E47" s="126"/>
      <c r="F47" s="397"/>
      <c r="G47" s="340" t="s">
        <v>46</v>
      </c>
      <c r="H47" s="830" t="s">
        <v>156</v>
      </c>
      <c r="I47" s="344" t="s">
        <v>47</v>
      </c>
      <c r="J47" s="350" t="s">
        <v>112</v>
      </c>
      <c r="K47" s="369" t="str">
        <f t="shared" si="5"/>
        <v/>
      </c>
      <c r="L47" s="369">
        <f t="shared" si="6"/>
        <v>64.180000000000007</v>
      </c>
      <c r="M47" s="399"/>
      <c r="N47" s="400" t="s">
        <v>382</v>
      </c>
      <c r="O47" s="407" t="s">
        <v>383</v>
      </c>
      <c r="P47" s="421" t="str">
        <f>K55</f>
        <v/>
      </c>
      <c r="Q47" s="421" t="str">
        <f>L55</f>
        <v/>
      </c>
    </row>
    <row r="48" spans="1:17" ht="15">
      <c r="A48" s="347" t="s">
        <v>46</v>
      </c>
      <c r="B48" s="395" t="s">
        <v>112</v>
      </c>
      <c r="C48" s="396" t="s">
        <v>47</v>
      </c>
      <c r="D48" s="126"/>
      <c r="E48" s="665">
        <v>64.180000000000007</v>
      </c>
      <c r="F48" s="397"/>
      <c r="G48" s="347"/>
      <c r="H48" s="834"/>
      <c r="I48" s="344" t="s">
        <v>48</v>
      </c>
      <c r="J48" s="350" t="s">
        <v>157</v>
      </c>
      <c r="K48" s="369" t="str">
        <f t="shared" si="5"/>
        <v/>
      </c>
      <c r="L48" s="369">
        <f t="shared" si="6"/>
        <v>18.600000000000001</v>
      </c>
      <c r="M48" s="399"/>
      <c r="N48" s="400" t="s">
        <v>384</v>
      </c>
      <c r="O48" s="407" t="s">
        <v>106</v>
      </c>
      <c r="P48" s="421" t="str">
        <f>K40</f>
        <v/>
      </c>
      <c r="Q48" s="421" t="str">
        <f>L39</f>
        <v/>
      </c>
    </row>
    <row r="49" spans="1:17" ht="15">
      <c r="A49" s="347"/>
      <c r="B49" s="395" t="s">
        <v>157</v>
      </c>
      <c r="C49" s="396" t="s">
        <v>48</v>
      </c>
      <c r="D49" s="126"/>
      <c r="E49" s="665">
        <v>18.600000000000001</v>
      </c>
      <c r="F49" s="397"/>
      <c r="G49" s="348"/>
      <c r="H49" s="831"/>
      <c r="I49" s="344" t="s">
        <v>49</v>
      </c>
      <c r="J49" s="350" t="s">
        <v>158</v>
      </c>
      <c r="K49" s="369" t="str">
        <f t="shared" si="5"/>
        <v/>
      </c>
      <c r="L49" s="369">
        <f t="shared" si="6"/>
        <v>292</v>
      </c>
      <c r="M49" s="399"/>
      <c r="N49" s="400" t="s">
        <v>385</v>
      </c>
      <c r="O49" s="407" t="s">
        <v>108</v>
      </c>
      <c r="P49" s="421" t="str">
        <f>K42</f>
        <v/>
      </c>
      <c r="Q49" s="421">
        <f>L41</f>
        <v>201.67</v>
      </c>
    </row>
    <row r="50" spans="1:17" ht="25.5">
      <c r="A50" s="410"/>
      <c r="B50" s="395" t="s">
        <v>158</v>
      </c>
      <c r="C50" s="396" t="s">
        <v>49</v>
      </c>
      <c r="D50" s="126"/>
      <c r="E50" s="665">
        <v>292</v>
      </c>
      <c r="F50" s="397"/>
      <c r="G50" s="340" t="s">
        <v>50</v>
      </c>
      <c r="H50" s="409" t="s">
        <v>159</v>
      </c>
      <c r="I50" s="344" t="s">
        <v>51</v>
      </c>
      <c r="J50" s="350" t="s">
        <v>113</v>
      </c>
      <c r="K50" s="371" t="str">
        <f t="shared" si="5"/>
        <v/>
      </c>
      <c r="L50" s="371" t="str">
        <f t="shared" si="6"/>
        <v/>
      </c>
      <c r="M50" s="399"/>
      <c r="N50" s="400" t="s">
        <v>386</v>
      </c>
      <c r="O50" s="407" t="s">
        <v>107</v>
      </c>
      <c r="P50" s="421" t="str">
        <f>K41</f>
        <v/>
      </c>
      <c r="Q50" s="421" t="str">
        <f>L40</f>
        <v/>
      </c>
    </row>
    <row r="51" spans="1:17" ht="15" customHeight="1">
      <c r="A51" s="357" t="s">
        <v>50</v>
      </c>
      <c r="B51" s="395" t="s">
        <v>640</v>
      </c>
      <c r="C51" s="396" t="s">
        <v>51</v>
      </c>
      <c r="D51" s="126"/>
      <c r="E51" s="126"/>
      <c r="F51" s="397"/>
      <c r="G51" s="347"/>
      <c r="H51" s="411"/>
      <c r="I51" s="344" t="s">
        <v>115</v>
      </c>
      <c r="J51" s="350" t="s">
        <v>114</v>
      </c>
      <c r="K51" s="371" t="str">
        <f t="shared" si="5"/>
        <v/>
      </c>
      <c r="L51" s="371" t="str">
        <f t="shared" si="6"/>
        <v/>
      </c>
      <c r="M51" s="399"/>
      <c r="N51" s="400" t="s">
        <v>387</v>
      </c>
      <c r="O51" s="407" t="s">
        <v>388</v>
      </c>
      <c r="P51" s="420" t="str">
        <f t="shared" ref="P51:Q52" si="8">K57</f>
        <v/>
      </c>
      <c r="Q51" s="420" t="str">
        <f t="shared" si="8"/>
        <v/>
      </c>
    </row>
    <row r="52" spans="1:17" ht="15">
      <c r="A52" s="357"/>
      <c r="B52" s="395" t="s">
        <v>114</v>
      </c>
      <c r="C52" s="396" t="s">
        <v>115</v>
      </c>
      <c r="D52" s="126"/>
      <c r="E52" s="126"/>
      <c r="F52" s="397"/>
      <c r="G52" s="347"/>
      <c r="H52" s="411"/>
      <c r="I52" s="344" t="s">
        <v>52</v>
      </c>
      <c r="J52" s="350" t="s">
        <v>116</v>
      </c>
      <c r="K52" s="369" t="str">
        <f t="shared" ref="K52:K69" si="9">IF(ISNUMBER(D54),D54,"")</f>
        <v/>
      </c>
      <c r="L52" s="369" t="str">
        <f t="shared" ref="L52:L69" si="10">IF(ISNUMBER(E54),E54,"")</f>
        <v/>
      </c>
      <c r="M52" s="399"/>
      <c r="N52" s="400" t="s">
        <v>389</v>
      </c>
      <c r="O52" s="407" t="s">
        <v>390</v>
      </c>
      <c r="P52" s="420" t="str">
        <f t="shared" si="8"/>
        <v/>
      </c>
      <c r="Q52" s="420" t="str">
        <f t="shared" si="8"/>
        <v/>
      </c>
    </row>
    <row r="53" spans="1:17" ht="15">
      <c r="A53" s="357"/>
      <c r="B53" s="395" t="s">
        <v>641</v>
      </c>
      <c r="C53" s="396" t="s">
        <v>628</v>
      </c>
      <c r="D53" s="418"/>
      <c r="E53" s="418"/>
      <c r="F53" s="397"/>
      <c r="G53" s="348"/>
      <c r="H53" s="412"/>
      <c r="I53" s="344" t="s">
        <v>118</v>
      </c>
      <c r="J53" s="350" t="s">
        <v>117</v>
      </c>
      <c r="K53" s="369" t="str">
        <f t="shared" si="9"/>
        <v/>
      </c>
      <c r="L53" s="369" t="str">
        <f t="shared" si="10"/>
        <v/>
      </c>
      <c r="M53" s="399"/>
      <c r="N53" s="400" t="s">
        <v>391</v>
      </c>
      <c r="O53" s="407" t="s">
        <v>392</v>
      </c>
      <c r="P53" s="420" t="str">
        <f>K56</f>
        <v/>
      </c>
      <c r="Q53" s="420">
        <f>L56</f>
        <v>3.5</v>
      </c>
    </row>
    <row r="54" spans="1:17" ht="25.5">
      <c r="A54" s="357"/>
      <c r="B54" s="395" t="s">
        <v>116</v>
      </c>
      <c r="C54" s="396" t="s">
        <v>52</v>
      </c>
      <c r="D54" s="126"/>
      <c r="E54" s="126"/>
      <c r="F54" s="397"/>
      <c r="G54" s="340" t="s">
        <v>53</v>
      </c>
      <c r="H54" s="830" t="s">
        <v>54</v>
      </c>
      <c r="I54" s="344" t="s">
        <v>55</v>
      </c>
      <c r="J54" s="350" t="s">
        <v>160</v>
      </c>
      <c r="K54" s="369" t="str">
        <f t="shared" si="9"/>
        <v/>
      </c>
      <c r="L54" s="369">
        <f t="shared" si="10"/>
        <v>22</v>
      </c>
      <c r="M54" s="399"/>
      <c r="N54" s="62"/>
      <c r="O54" s="63" t="s">
        <v>405</v>
      </c>
      <c r="P54" s="115"/>
      <c r="Q54" s="116"/>
    </row>
    <row r="55" spans="1:17" ht="15">
      <c r="A55" s="357"/>
      <c r="B55" s="395" t="s">
        <v>642</v>
      </c>
      <c r="C55" s="413" t="s">
        <v>118</v>
      </c>
      <c r="D55" s="126"/>
      <c r="E55" s="126"/>
      <c r="F55" s="397"/>
      <c r="G55" s="347"/>
      <c r="H55" s="834"/>
      <c r="I55" s="344" t="s">
        <v>56</v>
      </c>
      <c r="J55" s="350" t="s">
        <v>161</v>
      </c>
      <c r="K55" s="369" t="str">
        <f t="shared" si="9"/>
        <v/>
      </c>
      <c r="L55" s="369" t="str">
        <f t="shared" si="10"/>
        <v/>
      </c>
      <c r="M55" s="399"/>
      <c r="N55" s="400" t="s">
        <v>393</v>
      </c>
      <c r="O55" s="407" t="s">
        <v>394</v>
      </c>
      <c r="P55" s="422"/>
      <c r="Q55" s="422"/>
    </row>
    <row r="56" spans="1:17" ht="25.5">
      <c r="A56" s="340" t="s">
        <v>53</v>
      </c>
      <c r="B56" s="350" t="s">
        <v>643</v>
      </c>
      <c r="C56" s="396" t="s">
        <v>55</v>
      </c>
      <c r="D56" s="126"/>
      <c r="E56" s="665">
        <v>22</v>
      </c>
      <c r="F56" s="397"/>
      <c r="G56" s="347"/>
      <c r="H56" s="834"/>
      <c r="I56" s="344" t="s">
        <v>57</v>
      </c>
      <c r="J56" s="350" t="s">
        <v>162</v>
      </c>
      <c r="K56" s="369" t="str">
        <f t="shared" si="9"/>
        <v/>
      </c>
      <c r="L56" s="369">
        <f t="shared" si="10"/>
        <v>3.5</v>
      </c>
      <c r="M56" s="399"/>
      <c r="N56" s="400" t="s">
        <v>395</v>
      </c>
      <c r="O56" s="407" t="s">
        <v>396</v>
      </c>
      <c r="P56" s="422"/>
      <c r="Q56" s="422"/>
    </row>
    <row r="57" spans="1:17" ht="15">
      <c r="A57" s="347"/>
      <c r="B57" s="350" t="s">
        <v>161</v>
      </c>
      <c r="C57" s="396" t="s">
        <v>56</v>
      </c>
      <c r="D57" s="126"/>
      <c r="E57" s="126"/>
      <c r="F57" s="397"/>
      <c r="G57" s="347"/>
      <c r="H57" s="834"/>
      <c r="I57" s="344" t="s">
        <v>120</v>
      </c>
      <c r="J57" s="350" t="s">
        <v>119</v>
      </c>
      <c r="K57" s="369" t="str">
        <f t="shared" si="9"/>
        <v/>
      </c>
      <c r="L57" s="369" t="str">
        <f t="shared" si="10"/>
        <v/>
      </c>
      <c r="M57" s="399"/>
      <c r="N57" s="72"/>
      <c r="O57" s="73" t="s">
        <v>408</v>
      </c>
      <c r="P57" s="117"/>
      <c r="Q57" s="118"/>
    </row>
    <row r="58" spans="1:17" ht="15">
      <c r="A58" s="347"/>
      <c r="B58" s="350" t="s">
        <v>644</v>
      </c>
      <c r="C58" s="396" t="s">
        <v>57</v>
      </c>
      <c r="D58" s="126"/>
      <c r="E58" s="665">
        <v>3.5</v>
      </c>
      <c r="F58" s="397"/>
      <c r="G58" s="347"/>
      <c r="H58" s="834"/>
      <c r="I58" s="344" t="s">
        <v>122</v>
      </c>
      <c r="J58" s="350" t="s">
        <v>121</v>
      </c>
      <c r="K58" s="369" t="str">
        <f t="shared" si="9"/>
        <v/>
      </c>
      <c r="L58" s="369" t="str">
        <f t="shared" si="10"/>
        <v/>
      </c>
      <c r="M58" s="399"/>
      <c r="N58" s="349">
        <v>1</v>
      </c>
      <c r="O58" s="414" t="s">
        <v>397</v>
      </c>
      <c r="P58" s="369" t="str">
        <f t="shared" ref="P58" si="11">IF(OR(ISNUMBER(K23),ISNUMBER(K24),ISNUMBER(K29),ISNUMBER(K30)),SUM(K23:K24,K29:K30),"")</f>
        <v/>
      </c>
      <c r="Q58" s="369" t="str">
        <f>IF(OR(ISNUMBER(L23),ISNUMBER(L24),ISNUMBER(L29),ISNUMBER(L30)),SUM(L23:L24,L29:L30),"")</f>
        <v/>
      </c>
    </row>
    <row r="59" spans="1:17" ht="15">
      <c r="A59" s="347"/>
      <c r="B59" s="350" t="s">
        <v>119</v>
      </c>
      <c r="C59" s="396" t="s">
        <v>120</v>
      </c>
      <c r="D59" s="126"/>
      <c r="E59" s="126"/>
      <c r="F59" s="397"/>
      <c r="G59" s="347"/>
      <c r="H59" s="834"/>
      <c r="I59" s="344" t="s">
        <v>124</v>
      </c>
      <c r="J59" s="350" t="s">
        <v>123</v>
      </c>
      <c r="K59" s="369" t="str">
        <f t="shared" si="9"/>
        <v/>
      </c>
      <c r="L59" s="369" t="str">
        <f t="shared" si="10"/>
        <v/>
      </c>
      <c r="M59" s="399"/>
      <c r="N59" s="349">
        <v>2</v>
      </c>
      <c r="O59" s="414" t="s">
        <v>398</v>
      </c>
      <c r="P59" s="369" t="str">
        <f>IF(OR(ISNUMBER(K31),ISNUMBER(K32),ISNUMBER(K33),ISNUMBER(K36)),SUM(K31:K33,K36),"")</f>
        <v/>
      </c>
      <c r="Q59" s="369">
        <f>IF(OR(ISNUMBER(L31),ISNUMBER(L32),ISNUMBER(L33),ISNUMBER(L36)),SUM(L31:L33,L36),"")</f>
        <v>3780.1550000000002</v>
      </c>
    </row>
    <row r="60" spans="1:17" ht="15">
      <c r="A60" s="347"/>
      <c r="B60" s="350" t="s">
        <v>121</v>
      </c>
      <c r="C60" s="396" t="s">
        <v>122</v>
      </c>
      <c r="D60" s="126"/>
      <c r="E60" s="126"/>
      <c r="F60" s="397"/>
      <c r="G60" s="347"/>
      <c r="H60" s="834"/>
      <c r="I60" s="344" t="s">
        <v>58</v>
      </c>
      <c r="J60" s="350" t="s">
        <v>136</v>
      </c>
      <c r="K60" s="369" t="str">
        <f t="shared" si="9"/>
        <v/>
      </c>
      <c r="L60" s="369" t="str">
        <f t="shared" si="10"/>
        <v/>
      </c>
      <c r="M60" s="399"/>
      <c r="N60" s="349">
        <v>3</v>
      </c>
      <c r="O60" s="414" t="s">
        <v>323</v>
      </c>
      <c r="P60" s="369" t="str">
        <f t="shared" ref="P60:Q60" si="12">IF(OR(ISNUMBER(K60),ISNUMBER(K61),ISNUMBER(K62),ISNUMBER(K63)),SUM(K60:K63),"")</f>
        <v/>
      </c>
      <c r="Q60" s="369">
        <f t="shared" si="12"/>
        <v>6.3</v>
      </c>
    </row>
    <row r="61" spans="1:17" ht="15">
      <c r="A61" s="347"/>
      <c r="B61" s="350" t="s">
        <v>645</v>
      </c>
      <c r="C61" s="396" t="s">
        <v>124</v>
      </c>
      <c r="D61" s="126"/>
      <c r="E61" s="126"/>
      <c r="F61" s="397"/>
      <c r="G61" s="347"/>
      <c r="H61" s="834"/>
      <c r="I61" s="344" t="s">
        <v>59</v>
      </c>
      <c r="J61" s="350" t="s">
        <v>125</v>
      </c>
      <c r="K61" s="369" t="str">
        <f t="shared" si="9"/>
        <v/>
      </c>
      <c r="L61" s="369">
        <f t="shared" si="10"/>
        <v>2</v>
      </c>
      <c r="M61" s="399"/>
      <c r="N61" s="349">
        <v>4</v>
      </c>
      <c r="O61" s="414" t="s">
        <v>159</v>
      </c>
      <c r="P61" s="369" t="str">
        <f>IF(OR(ISNUMBER(K50),ISNUMBER(K51),ISNUMBER(K52),ISNUMBER(K53)),SUM(K50:K53),"")</f>
        <v/>
      </c>
      <c r="Q61" s="369">
        <f>IF(OR(ISNUMBER(L49),ISNUMBER(L50),ISNUMBER(L52),ISNUMBER(L53)),SUM(L49:L53),"")</f>
        <v>292</v>
      </c>
    </row>
    <row r="62" spans="1:17" ht="25.5">
      <c r="A62" s="347"/>
      <c r="B62" s="350" t="s">
        <v>136</v>
      </c>
      <c r="C62" s="396" t="s">
        <v>58</v>
      </c>
      <c r="D62" s="126"/>
      <c r="E62" s="126"/>
      <c r="F62" s="397"/>
      <c r="G62" s="347"/>
      <c r="H62" s="834"/>
      <c r="I62" s="344" t="s">
        <v>60</v>
      </c>
      <c r="J62" s="350" t="s">
        <v>163</v>
      </c>
      <c r="K62" s="369" t="str">
        <f t="shared" si="9"/>
        <v/>
      </c>
      <c r="L62" s="369">
        <f t="shared" si="10"/>
        <v>4.3</v>
      </c>
      <c r="M62" s="399"/>
      <c r="N62" s="349">
        <v>5</v>
      </c>
      <c r="O62" s="350" t="s">
        <v>399</v>
      </c>
      <c r="P62" s="369" t="str">
        <f>K64</f>
        <v/>
      </c>
      <c r="Q62" s="369">
        <f>L64</f>
        <v>7</v>
      </c>
    </row>
    <row r="63" spans="1:17" ht="15">
      <c r="A63" s="347"/>
      <c r="B63" s="350" t="s">
        <v>125</v>
      </c>
      <c r="C63" s="396" t="s">
        <v>59</v>
      </c>
      <c r="D63" s="126"/>
      <c r="E63" s="665">
        <v>2</v>
      </c>
      <c r="F63" s="397"/>
      <c r="G63" s="348"/>
      <c r="H63" s="831"/>
      <c r="I63" s="344" t="s">
        <v>61</v>
      </c>
      <c r="J63" s="350" t="s">
        <v>126</v>
      </c>
      <c r="K63" s="369" t="str">
        <f t="shared" si="9"/>
        <v/>
      </c>
      <c r="L63" s="369" t="str">
        <f t="shared" si="10"/>
        <v/>
      </c>
      <c r="M63" s="399"/>
      <c r="N63" s="349">
        <v>6</v>
      </c>
      <c r="O63" s="248" t="s">
        <v>468</v>
      </c>
      <c r="P63" s="369" t="str">
        <f t="shared" ref="P63:Q63" si="13">K65</f>
        <v/>
      </c>
      <c r="Q63" s="369">
        <f t="shared" si="13"/>
        <v>132.39999999999998</v>
      </c>
    </row>
    <row r="64" spans="1:17" ht="25.5">
      <c r="A64" s="347"/>
      <c r="B64" s="350" t="s">
        <v>163</v>
      </c>
      <c r="C64" s="396" t="s">
        <v>60</v>
      </c>
      <c r="D64" s="126"/>
      <c r="E64" s="665">
        <v>4.3</v>
      </c>
      <c r="F64" s="397"/>
      <c r="G64" s="340" t="s">
        <v>62</v>
      </c>
      <c r="H64" s="830" t="s">
        <v>164</v>
      </c>
      <c r="I64" s="344" t="s">
        <v>63</v>
      </c>
      <c r="J64" s="350" t="s">
        <v>165</v>
      </c>
      <c r="K64" s="369" t="str">
        <f t="shared" si="9"/>
        <v/>
      </c>
      <c r="L64" s="369">
        <f t="shared" si="10"/>
        <v>7</v>
      </c>
      <c r="M64" s="397"/>
      <c r="N64" s="349">
        <v>7</v>
      </c>
      <c r="O64" s="248" t="s">
        <v>469</v>
      </c>
      <c r="P64" s="369" t="str">
        <f>IF(OR(ISNUMBER(K66),ISNUMBER(K69)),SUM(K66,K69),"")</f>
        <v/>
      </c>
      <c r="Q64" s="369" t="str">
        <f>IF(OR(ISNUMBER(L66),ISNUMBER(L69)),SUM(L66,L69),"")</f>
        <v/>
      </c>
    </row>
    <row r="65" spans="1:17" ht="15">
      <c r="A65" s="348"/>
      <c r="B65" s="350" t="s">
        <v>126</v>
      </c>
      <c r="C65" s="396" t="s">
        <v>61</v>
      </c>
      <c r="D65" s="126"/>
      <c r="E65" s="126"/>
      <c r="F65" s="397"/>
      <c r="G65" s="347"/>
      <c r="H65" s="834"/>
      <c r="I65" s="344" t="s">
        <v>64</v>
      </c>
      <c r="J65" s="350" t="s">
        <v>127</v>
      </c>
      <c r="K65" s="369" t="str">
        <f t="shared" si="9"/>
        <v/>
      </c>
      <c r="L65" s="369">
        <f t="shared" si="10"/>
        <v>132.39999999999998</v>
      </c>
      <c r="M65" s="397"/>
      <c r="N65" s="349">
        <v>8</v>
      </c>
      <c r="O65" s="423" t="s">
        <v>133</v>
      </c>
      <c r="P65" s="369" t="str">
        <f>K78</f>
        <v/>
      </c>
      <c r="Q65" s="369" t="str">
        <f>L78</f>
        <v/>
      </c>
    </row>
    <row r="66" spans="1:17" ht="15">
      <c r="A66" s="340" t="s">
        <v>62</v>
      </c>
      <c r="B66" s="350" t="s">
        <v>646</v>
      </c>
      <c r="C66" s="396" t="s">
        <v>63</v>
      </c>
      <c r="D66" s="126"/>
      <c r="E66" s="665">
        <v>7</v>
      </c>
      <c r="F66" s="397"/>
      <c r="G66" s="347"/>
      <c r="H66" s="834"/>
      <c r="I66" s="344" t="s">
        <v>65</v>
      </c>
      <c r="J66" s="350" t="s">
        <v>166</v>
      </c>
      <c r="K66" s="369" t="str">
        <f t="shared" si="9"/>
        <v/>
      </c>
      <c r="L66" s="369" t="str">
        <f t="shared" si="10"/>
        <v/>
      </c>
      <c r="M66" s="397"/>
      <c r="N66" s="373"/>
    </row>
    <row r="67" spans="1:17" ht="15">
      <c r="A67" s="347"/>
      <c r="B67" s="350" t="s">
        <v>127</v>
      </c>
      <c r="C67" s="396" t="s">
        <v>64</v>
      </c>
      <c r="D67" s="126"/>
      <c r="E67" s="665">
        <f>131.2+'[1]Master Sheet'!$F$24</f>
        <v>132.39999999999998</v>
      </c>
      <c r="F67" s="397"/>
      <c r="G67" s="347"/>
      <c r="H67" s="834"/>
      <c r="I67" s="344" t="s">
        <v>66</v>
      </c>
      <c r="J67" s="350" t="s">
        <v>173</v>
      </c>
      <c r="K67" s="369" t="str">
        <f t="shared" si="9"/>
        <v/>
      </c>
      <c r="L67" s="369" t="str">
        <f t="shared" si="10"/>
        <v/>
      </c>
      <c r="M67" s="397"/>
      <c r="N67" s="373"/>
    </row>
    <row r="68" spans="1:17" ht="15">
      <c r="A68" s="347"/>
      <c r="B68" s="350" t="s">
        <v>647</v>
      </c>
      <c r="C68" s="396" t="s">
        <v>65</v>
      </c>
      <c r="D68" s="126"/>
      <c r="E68" s="126"/>
      <c r="F68" s="397"/>
      <c r="G68" s="347"/>
      <c r="H68" s="834"/>
      <c r="I68" s="344" t="s">
        <v>67</v>
      </c>
      <c r="J68" s="350" t="s">
        <v>174</v>
      </c>
      <c r="K68" s="369" t="str">
        <f t="shared" si="9"/>
        <v/>
      </c>
      <c r="L68" s="369" t="str">
        <f t="shared" si="10"/>
        <v/>
      </c>
      <c r="M68" s="397"/>
      <c r="N68" s="373"/>
    </row>
    <row r="69" spans="1:17" ht="15">
      <c r="A69" s="347"/>
      <c r="B69" s="350" t="s">
        <v>648</v>
      </c>
      <c r="C69" s="396" t="s">
        <v>66</v>
      </c>
      <c r="D69" s="126"/>
      <c r="E69" s="126"/>
      <c r="F69" s="397"/>
      <c r="G69" s="347"/>
      <c r="H69" s="834"/>
      <c r="I69" s="344" t="s">
        <v>68</v>
      </c>
      <c r="J69" s="350" t="s">
        <v>175</v>
      </c>
      <c r="K69" s="369" t="str">
        <f t="shared" si="9"/>
        <v/>
      </c>
      <c r="L69" s="369" t="str">
        <f t="shared" si="10"/>
        <v/>
      </c>
      <c r="M69" s="397"/>
      <c r="N69" s="373"/>
    </row>
    <row r="70" spans="1:17" ht="15">
      <c r="A70" s="347"/>
      <c r="B70" s="350" t="s">
        <v>649</v>
      </c>
      <c r="C70" s="396" t="s">
        <v>67</v>
      </c>
      <c r="D70" s="126"/>
      <c r="E70" s="126"/>
      <c r="F70" s="397"/>
      <c r="G70" s="347"/>
      <c r="H70" s="834"/>
      <c r="I70" s="344" t="s">
        <v>128</v>
      </c>
      <c r="J70" s="350" t="s">
        <v>167</v>
      </c>
      <c r="K70" s="371" t="str">
        <f t="shared" ref="K70:L70" si="14">IF(ISNUMBER(D85),D85,"")</f>
        <v/>
      </c>
      <c r="L70" s="371" t="str">
        <f t="shared" si="14"/>
        <v/>
      </c>
      <c r="M70" s="397"/>
      <c r="N70" s="373"/>
    </row>
    <row r="71" spans="1:17" ht="15">
      <c r="A71" s="347"/>
      <c r="B71" s="350" t="s">
        <v>175</v>
      </c>
      <c r="C71" s="396" t="s">
        <v>68</v>
      </c>
      <c r="D71" s="126"/>
      <c r="E71" s="126"/>
      <c r="F71" s="397"/>
      <c r="G71" s="347"/>
      <c r="H71" s="834"/>
      <c r="I71" s="344" t="s">
        <v>69</v>
      </c>
      <c r="J71" s="350" t="s">
        <v>129</v>
      </c>
      <c r="K71" s="371" t="str">
        <f t="shared" ref="K71:L71" si="15">IF(ISNUMBER(D72),D72,"")</f>
        <v/>
      </c>
      <c r="L71" s="371">
        <f t="shared" si="15"/>
        <v>1E-3</v>
      </c>
      <c r="M71" s="397"/>
      <c r="N71" s="373"/>
    </row>
    <row r="72" spans="1:17" ht="15">
      <c r="A72" s="347"/>
      <c r="B72" s="350" t="s">
        <v>129</v>
      </c>
      <c r="C72" s="396" t="s">
        <v>69</v>
      </c>
      <c r="D72" s="126"/>
      <c r="E72" s="665">
        <v>1E-3</v>
      </c>
      <c r="F72" s="397"/>
      <c r="G72" s="348"/>
      <c r="H72" s="831"/>
      <c r="I72" s="344" t="s">
        <v>70</v>
      </c>
      <c r="J72" s="350" t="s">
        <v>168</v>
      </c>
      <c r="K72" s="369" t="str">
        <f t="shared" ref="K72" si="16">IF(ISNUMBER(D73),D73,"")</f>
        <v/>
      </c>
      <c r="L72" s="369" t="str">
        <f t="shared" ref="L72" si="17">IF(ISNUMBER(E73),E73,"")</f>
        <v/>
      </c>
      <c r="M72" s="397"/>
      <c r="N72" s="373"/>
    </row>
    <row r="73" spans="1:17" ht="15">
      <c r="A73" s="348"/>
      <c r="B73" s="350" t="s">
        <v>168</v>
      </c>
      <c r="C73" s="396" t="s">
        <v>70</v>
      </c>
      <c r="D73" s="126"/>
      <c r="E73" s="126"/>
      <c r="F73" s="397"/>
      <c r="G73" s="340" t="s">
        <v>71</v>
      </c>
      <c r="H73" s="830" t="s">
        <v>169</v>
      </c>
      <c r="I73" s="344" t="s">
        <v>72</v>
      </c>
      <c r="J73" s="350" t="s">
        <v>170</v>
      </c>
      <c r="K73" s="369" t="str">
        <f t="shared" ref="K73:L73" si="18">IF(OR(ISNUMBER(D79),ISNUMBER(D74)),SUM(D74,D79),"")</f>
        <v/>
      </c>
      <c r="L73" s="369">
        <f t="shared" si="18"/>
        <v>8</v>
      </c>
      <c r="M73" s="397"/>
      <c r="N73" s="373"/>
    </row>
    <row r="74" spans="1:17" ht="15" customHeight="1">
      <c r="A74" s="340" t="s">
        <v>650</v>
      </c>
      <c r="B74" s="350" t="s">
        <v>651</v>
      </c>
      <c r="C74" s="396" t="s">
        <v>652</v>
      </c>
      <c r="D74" s="126"/>
      <c r="E74" s="126"/>
      <c r="F74" s="397"/>
      <c r="G74" s="347"/>
      <c r="H74" s="834"/>
      <c r="I74" s="344" t="s">
        <v>73</v>
      </c>
      <c r="J74" s="350" t="s">
        <v>130</v>
      </c>
      <c r="K74" s="369" t="str">
        <f t="shared" ref="K74:L74" si="19">IF(ISNUMBER(D80),D80,"")</f>
        <v/>
      </c>
      <c r="L74" s="369">
        <f t="shared" si="19"/>
        <v>14.123999999999999</v>
      </c>
      <c r="M74" s="397"/>
      <c r="N74" s="373"/>
    </row>
    <row r="75" spans="1:17" ht="25.5">
      <c r="A75" s="347"/>
      <c r="B75" s="350" t="s">
        <v>653</v>
      </c>
      <c r="C75" s="396" t="s">
        <v>654</v>
      </c>
      <c r="D75" s="126"/>
      <c r="E75" s="126"/>
      <c r="F75" s="397"/>
      <c r="G75" s="348"/>
      <c r="H75" s="831"/>
      <c r="I75" s="344" t="s">
        <v>74</v>
      </c>
      <c r="J75" s="350" t="s">
        <v>131</v>
      </c>
      <c r="K75" s="369" t="str">
        <f t="shared" ref="K75" si="20">IF(ISNUMBER(D81),D81,"")</f>
        <v/>
      </c>
      <c r="L75" s="369" t="str">
        <f t="shared" ref="L75" si="21">IF(ISNUMBER(E81),E81,"")</f>
        <v/>
      </c>
      <c r="M75" s="397"/>
      <c r="N75" s="373"/>
    </row>
    <row r="76" spans="1:17" ht="15" customHeight="1">
      <c r="A76" s="347"/>
      <c r="B76" s="350" t="s">
        <v>655</v>
      </c>
      <c r="C76" s="396" t="s">
        <v>656</v>
      </c>
      <c r="D76" s="126"/>
      <c r="E76" s="126"/>
      <c r="F76" s="397"/>
      <c r="G76" s="340" t="s">
        <v>75</v>
      </c>
      <c r="H76" s="409" t="s">
        <v>76</v>
      </c>
      <c r="I76" s="344" t="s">
        <v>77</v>
      </c>
      <c r="J76" s="350" t="s">
        <v>171</v>
      </c>
      <c r="K76" s="369" t="str">
        <f>IF(OR(ISNUMBER(D82),ISNUMBER(D75),ISNUMBER(D76),ISNUMBER(D77),ISNUMBER(D78)),SUM(D82,D75:D78),"")</f>
        <v/>
      </c>
      <c r="L76" s="369">
        <f>IF(OR(ISNUMBER(E82),ISNUMBER(E75),ISNUMBER(E76),ISNUMBER(E77),ISNUMBER(E78)),SUM(E82,E75:E78),"")</f>
        <v>6.5909999999999993</v>
      </c>
      <c r="M76" s="397"/>
      <c r="N76" s="373"/>
    </row>
    <row r="77" spans="1:17" ht="25.5">
      <c r="A77" s="347"/>
      <c r="B77" s="350" t="s">
        <v>657</v>
      </c>
      <c r="C77" s="396" t="s">
        <v>658</v>
      </c>
      <c r="D77" s="126"/>
      <c r="E77" s="126"/>
      <c r="F77" s="397"/>
      <c r="G77" s="347"/>
      <c r="H77" s="411"/>
      <c r="I77" s="344" t="s">
        <v>78</v>
      </c>
      <c r="J77" s="350" t="s">
        <v>132</v>
      </c>
      <c r="K77" s="369" t="str">
        <f t="shared" ref="K77:K78" si="22">IF(ISNUMBER(D83),D83,"")</f>
        <v/>
      </c>
      <c r="L77" s="369">
        <f t="shared" ref="L77:L78" si="23">IF(ISNUMBER(E83),E83,"")</f>
        <v>6.5250000000000004</v>
      </c>
      <c r="M77" s="397"/>
      <c r="N77" s="373"/>
    </row>
    <row r="78" spans="1:17" ht="25.5">
      <c r="A78" s="348"/>
      <c r="B78" s="350" t="s">
        <v>659</v>
      </c>
      <c r="C78" s="396" t="s">
        <v>660</v>
      </c>
      <c r="D78" s="126"/>
      <c r="E78" s="126"/>
      <c r="F78" s="397"/>
      <c r="G78" s="347"/>
      <c r="H78" s="411"/>
      <c r="I78" s="344" t="s">
        <v>134</v>
      </c>
      <c r="J78" s="350" t="s">
        <v>133</v>
      </c>
      <c r="K78" s="371" t="str">
        <f t="shared" si="22"/>
        <v/>
      </c>
      <c r="L78" s="371" t="str">
        <f t="shared" si="23"/>
        <v/>
      </c>
      <c r="M78" s="397"/>
      <c r="N78" s="373"/>
    </row>
    <row r="79" spans="1:17" ht="15">
      <c r="A79" s="347" t="s">
        <v>71</v>
      </c>
      <c r="B79" s="350" t="s">
        <v>170</v>
      </c>
      <c r="C79" s="396" t="s">
        <v>72</v>
      </c>
      <c r="D79" s="126"/>
      <c r="E79" s="665">
        <v>8</v>
      </c>
      <c r="F79" s="397"/>
      <c r="G79" s="347"/>
      <c r="H79" s="411"/>
      <c r="I79" s="415" t="s">
        <v>172</v>
      </c>
      <c r="J79" s="416" t="s">
        <v>135</v>
      </c>
      <c r="K79" s="419" t="str">
        <f>IF(OR(ISNUMBER(D38),ISNUMBER(D86),ISNUMBER(D87)),SUM(D38,D86:D87),"")</f>
        <v/>
      </c>
      <c r="L79" s="419" t="str">
        <f>IF(OR(ISNUMBER(E38),ISNUMBER(E86),ISNUMBER(E87)),SUM(E38,E86:E87),"")</f>
        <v/>
      </c>
      <c r="M79" s="397"/>
      <c r="N79" s="373"/>
    </row>
    <row r="80" spans="1:17" ht="15">
      <c r="A80" s="347"/>
      <c r="B80" s="350" t="s">
        <v>130</v>
      </c>
      <c r="C80" s="396" t="s">
        <v>73</v>
      </c>
      <c r="D80" s="126"/>
      <c r="E80" s="665">
        <v>14.123999999999999</v>
      </c>
      <c r="F80" s="397"/>
      <c r="G80" s="417"/>
      <c r="H80" s="417"/>
      <c r="I80" s="417"/>
      <c r="J80" s="417"/>
      <c r="K80" s="417"/>
      <c r="L80" s="417"/>
      <c r="M80" s="78"/>
      <c r="N80" s="373"/>
    </row>
    <row r="81" spans="1:14" ht="15">
      <c r="A81" s="348"/>
      <c r="B81" s="350" t="s">
        <v>131</v>
      </c>
      <c r="C81" s="396" t="s">
        <v>74</v>
      </c>
      <c r="D81" s="126"/>
      <c r="E81" s="126"/>
      <c r="F81" s="397"/>
      <c r="G81" s="373"/>
      <c r="H81" s="373"/>
      <c r="I81" s="373"/>
      <c r="J81" s="373"/>
      <c r="K81" s="373"/>
      <c r="L81" s="373"/>
      <c r="M81" s="78"/>
      <c r="N81" s="373"/>
    </row>
    <row r="82" spans="1:14" ht="25.5">
      <c r="A82" s="340" t="s">
        <v>75</v>
      </c>
      <c r="B82" s="350" t="s">
        <v>661</v>
      </c>
      <c r="C82" s="396" t="s">
        <v>77</v>
      </c>
      <c r="D82" s="126"/>
      <c r="E82" s="665">
        <v>6.5909999999999993</v>
      </c>
      <c r="F82" s="397"/>
      <c r="G82" s="373"/>
      <c r="H82" s="373"/>
      <c r="I82" s="373"/>
      <c r="J82" s="373"/>
      <c r="K82" s="373"/>
      <c r="L82" s="373"/>
      <c r="M82" s="78"/>
      <c r="N82" s="373"/>
    </row>
    <row r="83" spans="1:14" ht="15">
      <c r="A83" s="347"/>
      <c r="B83" s="350" t="s">
        <v>132</v>
      </c>
      <c r="C83" s="396" t="s">
        <v>78</v>
      </c>
      <c r="D83" s="126"/>
      <c r="E83" s="665">
        <v>6.5250000000000004</v>
      </c>
      <c r="F83" s="397"/>
      <c r="G83" s="373"/>
      <c r="H83" s="373"/>
      <c r="I83" s="373"/>
      <c r="J83" s="373"/>
      <c r="K83" s="373"/>
      <c r="L83" s="373"/>
      <c r="M83" s="78"/>
      <c r="N83" s="373"/>
    </row>
    <row r="84" spans="1:14" ht="15">
      <c r="A84" s="347"/>
      <c r="B84" s="350" t="s">
        <v>133</v>
      </c>
      <c r="C84" s="396" t="s">
        <v>134</v>
      </c>
      <c r="D84" s="126"/>
      <c r="E84" s="126"/>
      <c r="F84" s="397"/>
      <c r="G84" s="373"/>
      <c r="H84" s="373"/>
      <c r="I84" s="373"/>
      <c r="J84" s="373"/>
      <c r="K84" s="373"/>
      <c r="L84" s="373"/>
      <c r="M84" s="78"/>
      <c r="N84" s="373"/>
    </row>
    <row r="85" spans="1:14" ht="15">
      <c r="A85" s="347"/>
      <c r="B85" s="350" t="s">
        <v>167</v>
      </c>
      <c r="C85" s="396" t="s">
        <v>662</v>
      </c>
      <c r="D85" s="126"/>
      <c r="E85" s="126"/>
      <c r="F85" s="397"/>
      <c r="G85" s="373"/>
      <c r="H85" s="373"/>
      <c r="I85" s="373"/>
      <c r="J85" s="373"/>
      <c r="K85" s="373"/>
      <c r="L85" s="373"/>
      <c r="M85" s="78"/>
      <c r="N85" s="373"/>
    </row>
    <row r="86" spans="1:14" ht="15">
      <c r="A86" s="347"/>
      <c r="B86" s="350" t="s">
        <v>663</v>
      </c>
      <c r="C86" s="396" t="s">
        <v>172</v>
      </c>
      <c r="D86" s="126"/>
      <c r="E86" s="126"/>
      <c r="F86" s="397"/>
      <c r="G86" s="373"/>
      <c r="H86" s="373"/>
      <c r="I86" s="373"/>
      <c r="J86" s="373"/>
      <c r="K86" s="373"/>
      <c r="L86" s="373"/>
      <c r="M86" s="78"/>
      <c r="N86" s="373"/>
    </row>
    <row r="87" spans="1:14" ht="15">
      <c r="A87" s="347"/>
      <c r="B87" s="350" t="s">
        <v>32</v>
      </c>
      <c r="C87" s="396" t="s">
        <v>664</v>
      </c>
      <c r="D87" s="126"/>
      <c r="E87" s="126"/>
      <c r="F87" s="397"/>
      <c r="G87" s="373"/>
      <c r="H87" s="373"/>
      <c r="I87" s="373"/>
      <c r="J87" s="373"/>
      <c r="K87" s="373"/>
      <c r="L87" s="373"/>
      <c r="M87" s="78"/>
      <c r="N87" s="373"/>
    </row>
    <row r="88" spans="1:14" ht="15">
      <c r="A88" s="348"/>
      <c r="B88" s="350" t="s">
        <v>665</v>
      </c>
      <c r="C88" s="396" t="s">
        <v>666</v>
      </c>
      <c r="D88" s="126"/>
      <c r="E88" s="126"/>
      <c r="F88" s="397"/>
      <c r="G88" s="373"/>
      <c r="H88" s="373"/>
      <c r="I88" s="373"/>
      <c r="J88" s="373"/>
      <c r="K88" s="373"/>
      <c r="L88" s="373"/>
      <c r="M88" s="78"/>
      <c r="N88" s="373"/>
    </row>
    <row r="89" spans="1:14" ht="15">
      <c r="D89" s="78"/>
      <c r="E89" s="78"/>
      <c r="G89" s="373"/>
      <c r="H89" s="373"/>
      <c r="I89" s="373"/>
      <c r="J89" s="373"/>
      <c r="K89" s="373"/>
      <c r="L89" s="373"/>
      <c r="M89" s="78"/>
      <c r="N89" s="373"/>
    </row>
    <row r="90" spans="1:14" ht="15">
      <c r="D90" s="78"/>
      <c r="E90" s="78"/>
      <c r="G90" s="373"/>
      <c r="H90" s="373"/>
      <c r="I90" s="373"/>
      <c r="J90" s="373"/>
      <c r="K90" s="373"/>
      <c r="L90" s="373"/>
      <c r="M90" s="78"/>
      <c r="N90" s="373"/>
    </row>
    <row r="91" spans="1:14" ht="15">
      <c r="D91" s="78"/>
      <c r="E91" s="78"/>
      <c r="F91" s="78"/>
      <c r="M91" s="78"/>
      <c r="N91" s="373"/>
    </row>
    <row r="92" spans="1:14" ht="15">
      <c r="D92" s="78"/>
      <c r="E92" s="78"/>
      <c r="F92" s="78"/>
      <c r="M92" s="78"/>
    </row>
    <row r="93" spans="1:14" ht="15">
      <c r="D93" s="78"/>
      <c r="E93" s="78"/>
      <c r="F93" s="78"/>
      <c r="M93" s="78"/>
    </row>
    <row r="94" spans="1:14" ht="15" customHeight="1">
      <c r="B94" s="376"/>
      <c r="D94" s="78"/>
      <c r="E94" s="78"/>
      <c r="F94" s="78"/>
      <c r="M94" s="78"/>
    </row>
    <row r="95" spans="1:14" ht="15" customHeight="1">
      <c r="B95" s="376"/>
      <c r="D95" s="78"/>
      <c r="E95" s="78"/>
      <c r="F95" s="78"/>
      <c r="M95" s="78"/>
    </row>
    <row r="96" spans="1:14" ht="15" customHeight="1">
      <c r="D96" s="78"/>
      <c r="E96" s="78"/>
      <c r="F96" s="78"/>
      <c r="M96" s="78"/>
    </row>
    <row r="97" spans="6:13" ht="15" customHeight="1">
      <c r="F97" s="78"/>
      <c r="M97" s="78"/>
    </row>
    <row r="98" spans="6:13" ht="15">
      <c r="F98" s="78"/>
      <c r="M98" s="78"/>
    </row>
  </sheetData>
  <mergeCells count="14">
    <mergeCell ref="D6:E6"/>
    <mergeCell ref="G6:J6"/>
    <mergeCell ref="K6:L6"/>
    <mergeCell ref="N6:O6"/>
    <mergeCell ref="P6:Q6"/>
    <mergeCell ref="H8:H10"/>
    <mergeCell ref="H64:H72"/>
    <mergeCell ref="H73:H75"/>
    <mergeCell ref="H13:H36"/>
    <mergeCell ref="H38:H39"/>
    <mergeCell ref="H40:H43"/>
    <mergeCell ref="H44:H46"/>
    <mergeCell ref="H47:H49"/>
    <mergeCell ref="H54:H63"/>
  </mergeCells>
  <conditionalFormatting sqref="D8:E51 D53:E88">
    <cfRule type="expression" dxfId="55" priority="2">
      <formula>ISNUMBER(D8)</formula>
    </cfRule>
  </conditionalFormatting>
  <conditionalFormatting sqref="D52:E52">
    <cfRule type="expression" dxfId="54" priority="1">
      <formula>ISNUMBER(D52)</formula>
    </cfRule>
  </conditionalFormatting>
  <pageMargins left="0.25" right="0.25" top="0.75" bottom="0.75" header="0.3" footer="0.3"/>
  <pageSetup paperSize="9" scale="80" fitToWidth="0" orientation="portrait" r:id="rId1"/>
</worksheet>
</file>

<file path=xl/worksheets/sheet8.xml><?xml version="1.0" encoding="utf-8"?>
<worksheet xmlns="http://schemas.openxmlformats.org/spreadsheetml/2006/main" xmlns:r="http://schemas.openxmlformats.org/officeDocument/2006/relationships">
  <sheetPr>
    <tabColor rgb="FFFF0000"/>
  </sheetPr>
  <dimension ref="A1:X129"/>
  <sheetViews>
    <sheetView zoomScale="70" zoomScaleNormal="70" workbookViewId="0">
      <pane ySplit="7" topLeftCell="A8" activePane="bottomLeft" state="frozen"/>
      <selection pane="bottomLeft" activeCell="A8" sqref="A8"/>
    </sheetView>
  </sheetViews>
  <sheetFormatPr defaultRowHeight="12.75"/>
  <cols>
    <col min="1" max="1" width="5.7109375" style="268" customWidth="1"/>
    <col min="2" max="2" width="97.5703125" style="268" customWidth="1"/>
    <col min="3" max="4" width="11.28515625" style="268" customWidth="1"/>
    <col min="5" max="5" width="11.28515625" style="266" customWidth="1"/>
    <col min="6" max="6" width="7.7109375" style="266" customWidth="1"/>
    <col min="7" max="7" width="9.140625" style="268"/>
    <col min="8" max="8" width="17.42578125" style="268" customWidth="1"/>
    <col min="9" max="9" width="9.140625" style="268"/>
    <col min="10" max="10" width="91.5703125" style="268" customWidth="1"/>
    <col min="11" max="11" width="10.85546875" style="268" customWidth="1"/>
    <col min="12" max="12" width="11.140625" style="268" customWidth="1"/>
    <col min="13" max="13" width="8.42578125" style="267" customWidth="1"/>
    <col min="14" max="14" width="9.7109375" style="268" bestFit="1" customWidth="1"/>
    <col min="15" max="15" width="68.5703125" style="268" bestFit="1" customWidth="1"/>
    <col min="16" max="17" width="15.7109375" style="268" bestFit="1" customWidth="1"/>
    <col min="18" max="16384" width="9.140625" style="268"/>
  </cols>
  <sheetData>
    <row r="1" spans="1:24" s="255" customFormat="1" ht="21">
      <c r="A1" s="254" t="s">
        <v>719</v>
      </c>
      <c r="E1" s="256"/>
      <c r="F1" s="256"/>
      <c r="G1" s="256"/>
      <c r="H1" s="256"/>
      <c r="I1" s="256"/>
      <c r="J1" s="257"/>
      <c r="K1" s="258"/>
      <c r="L1" s="258"/>
      <c r="M1" s="258"/>
      <c r="N1" s="257"/>
      <c r="O1" s="258"/>
      <c r="V1" s="256"/>
      <c r="W1" s="259"/>
      <c r="X1" s="259"/>
    </row>
    <row r="2" spans="1:24" s="261" customFormat="1" ht="15">
      <c r="A2" s="260" t="s">
        <v>471</v>
      </c>
      <c r="C2" s="218" t="s">
        <v>400</v>
      </c>
      <c r="D2" s="179"/>
      <c r="E2" s="177" t="s">
        <v>444</v>
      </c>
      <c r="H2" s="28"/>
      <c r="I2" s="657"/>
      <c r="J2" s="759" t="s">
        <v>868</v>
      </c>
      <c r="K2" s="28"/>
      <c r="M2" s="29"/>
      <c r="N2" s="262"/>
      <c r="P2" s="31"/>
      <c r="Q2" s="31"/>
      <c r="R2" s="31"/>
      <c r="V2" s="29"/>
    </row>
    <row r="3" spans="1:24" s="261" customFormat="1" ht="18.75">
      <c r="B3" s="263"/>
      <c r="C3" s="199"/>
      <c r="D3" s="198"/>
      <c r="E3" s="177" t="s">
        <v>445</v>
      </c>
      <c r="I3" s="29"/>
      <c r="J3" s="262"/>
      <c r="M3" s="29"/>
      <c r="N3" s="262"/>
      <c r="V3" s="29"/>
    </row>
    <row r="4" spans="1:24" s="261" customFormat="1" ht="15.75">
      <c r="B4" s="26"/>
      <c r="C4" s="199"/>
      <c r="D4" s="196"/>
      <c r="E4" s="177" t="s">
        <v>679</v>
      </c>
      <c r="I4" s="29"/>
      <c r="J4" s="262"/>
      <c r="M4" s="29"/>
      <c r="N4" s="262"/>
      <c r="P4" s="32"/>
      <c r="Q4" s="32"/>
      <c r="R4" s="32"/>
      <c r="V4" s="29"/>
    </row>
    <row r="5" spans="1:24" s="261" customFormat="1" ht="15">
      <c r="B5" s="260"/>
      <c r="C5" s="199"/>
      <c r="D5" s="217"/>
      <c r="E5" s="171" t="s">
        <v>611</v>
      </c>
      <c r="I5" s="29"/>
      <c r="J5" s="262"/>
      <c r="M5" s="29"/>
      <c r="N5" s="262"/>
      <c r="P5" s="32"/>
      <c r="Q5" s="32"/>
      <c r="R5" s="32"/>
      <c r="V5" s="29"/>
    </row>
    <row r="6" spans="1:24" ht="18.75" customHeight="1">
      <c r="A6" s="264" t="s">
        <v>472</v>
      </c>
      <c r="B6" s="265"/>
      <c r="C6" s="265"/>
      <c r="D6" s="853"/>
      <c r="E6" s="854"/>
      <c r="G6" s="818" t="s">
        <v>402</v>
      </c>
      <c r="H6" s="819"/>
      <c r="I6" s="819"/>
      <c r="J6" s="811"/>
      <c r="K6" s="820" t="s">
        <v>401</v>
      </c>
      <c r="L6" s="821"/>
      <c r="N6" s="810" t="s">
        <v>403</v>
      </c>
      <c r="O6" s="811"/>
      <c r="P6" s="812" t="s">
        <v>401</v>
      </c>
      <c r="Q6" s="813"/>
    </row>
    <row r="7" spans="1:24" ht="54" customHeight="1">
      <c r="A7" s="269" t="s">
        <v>0</v>
      </c>
      <c r="B7" s="270" t="s">
        <v>1</v>
      </c>
      <c r="C7" s="271" t="s">
        <v>2</v>
      </c>
      <c r="D7" s="272" t="s">
        <v>680</v>
      </c>
      <c r="E7" s="272" t="s">
        <v>681</v>
      </c>
      <c r="F7" s="273"/>
      <c r="G7" s="747" t="s">
        <v>859</v>
      </c>
      <c r="H7" s="43" t="s">
        <v>409</v>
      </c>
      <c r="I7" s="747" t="s">
        <v>860</v>
      </c>
      <c r="J7" s="43" t="s">
        <v>404</v>
      </c>
      <c r="K7" s="42" t="s">
        <v>680</v>
      </c>
      <c r="L7" s="42" t="s">
        <v>681</v>
      </c>
      <c r="M7" s="273"/>
      <c r="N7" s="44" t="s">
        <v>0</v>
      </c>
      <c r="O7" s="45" t="s">
        <v>406</v>
      </c>
      <c r="P7" s="46" t="s">
        <v>680</v>
      </c>
      <c r="Q7" s="46" t="s">
        <v>681</v>
      </c>
    </row>
    <row r="8" spans="1:24">
      <c r="A8" s="274" t="s">
        <v>3</v>
      </c>
      <c r="B8" s="275" t="s">
        <v>473</v>
      </c>
      <c r="C8" s="276" t="s">
        <v>4</v>
      </c>
      <c r="D8" s="126">
        <v>23.023999999999994</v>
      </c>
      <c r="E8" s="126">
        <v>3.0680000000000001</v>
      </c>
      <c r="F8" s="321"/>
      <c r="G8" s="274" t="s">
        <v>3</v>
      </c>
      <c r="H8" s="850" t="s">
        <v>137</v>
      </c>
      <c r="I8" s="282" t="s">
        <v>4</v>
      </c>
      <c r="J8" s="322" t="s">
        <v>79</v>
      </c>
      <c r="K8" s="323"/>
      <c r="L8" s="323"/>
      <c r="N8" s="119" t="s">
        <v>324</v>
      </c>
      <c r="O8" s="18" t="s">
        <v>325</v>
      </c>
      <c r="P8" s="122">
        <f>K73</f>
        <v>5313.0449999999973</v>
      </c>
      <c r="Q8" s="122">
        <f>L73</f>
        <v>5398.2180000000008</v>
      </c>
    </row>
    <row r="9" spans="1:24">
      <c r="A9" s="274" t="s">
        <v>5</v>
      </c>
      <c r="B9" s="280" t="s">
        <v>474</v>
      </c>
      <c r="C9" s="276" t="s">
        <v>7</v>
      </c>
      <c r="D9" s="126">
        <v>3029.8910000000001</v>
      </c>
      <c r="E9" s="126">
        <v>4143.1769999999997</v>
      </c>
      <c r="F9" s="321"/>
      <c r="G9" s="278"/>
      <c r="H9" s="851"/>
      <c r="I9" s="282" t="s">
        <v>138</v>
      </c>
      <c r="J9" s="322" t="s">
        <v>139</v>
      </c>
      <c r="K9" s="323"/>
      <c r="L9" s="323"/>
      <c r="N9" s="119" t="s">
        <v>326</v>
      </c>
      <c r="O9" s="18" t="s">
        <v>327</v>
      </c>
      <c r="P9" s="122">
        <f>K75</f>
        <v>404.83299999999997</v>
      </c>
      <c r="Q9" s="122">
        <f>L75</f>
        <v>305.98</v>
      </c>
    </row>
    <row r="10" spans="1:24" ht="38.25">
      <c r="A10" s="282" t="s">
        <v>8</v>
      </c>
      <c r="B10" s="280" t="s">
        <v>475</v>
      </c>
      <c r="C10" s="276" t="s">
        <v>9</v>
      </c>
      <c r="D10" s="126">
        <v>2997.065000000001</v>
      </c>
      <c r="E10" s="126">
        <v>3499.6499999999996</v>
      </c>
      <c r="F10" s="321"/>
      <c r="G10" s="279"/>
      <c r="H10" s="852"/>
      <c r="I10" s="282" t="s">
        <v>81</v>
      </c>
      <c r="J10" s="322" t="s">
        <v>80</v>
      </c>
      <c r="K10" s="324">
        <f>IF(ISNUMBER(D8),D8,"")</f>
        <v>23.023999999999994</v>
      </c>
      <c r="L10" s="324">
        <f>IF(ISNUMBER(E8),E8,"")</f>
        <v>3.0680000000000001</v>
      </c>
      <c r="N10" s="119" t="s">
        <v>328</v>
      </c>
      <c r="O10" s="18" t="s">
        <v>130</v>
      </c>
      <c r="P10" s="122">
        <f>K74</f>
        <v>472.36099999999982</v>
      </c>
      <c r="Q10" s="122">
        <f>L74</f>
        <v>247.98399999999998</v>
      </c>
    </row>
    <row r="11" spans="1:24">
      <c r="A11" s="274" t="s">
        <v>10</v>
      </c>
      <c r="B11" s="275" t="s">
        <v>476</v>
      </c>
      <c r="C11" s="276" t="s">
        <v>12</v>
      </c>
      <c r="D11" s="126">
        <v>10.456000000000001</v>
      </c>
      <c r="E11" s="126">
        <v>3</v>
      </c>
      <c r="F11" s="321"/>
      <c r="G11" s="274" t="s">
        <v>5</v>
      </c>
      <c r="H11" s="281" t="s">
        <v>6</v>
      </c>
      <c r="I11" s="282" t="s">
        <v>7</v>
      </c>
      <c r="J11" s="322" t="s">
        <v>82</v>
      </c>
      <c r="K11" s="324">
        <f>IF(ISNUMBER(D9),D9,"")</f>
        <v>3029.8910000000001</v>
      </c>
      <c r="L11" s="324">
        <f>IF(ISNUMBER(E9),E9,"")</f>
        <v>4143.1769999999997</v>
      </c>
      <c r="N11" s="119" t="s">
        <v>329</v>
      </c>
      <c r="O11" s="18" t="s">
        <v>330</v>
      </c>
      <c r="P11" s="123">
        <f>K44</f>
        <v>354.30399999999992</v>
      </c>
      <c r="Q11" s="123">
        <f>L44</f>
        <v>315.214</v>
      </c>
    </row>
    <row r="12" spans="1:24">
      <c r="A12" s="278"/>
      <c r="B12" s="275" t="s">
        <v>477</v>
      </c>
      <c r="C12" s="276" t="s">
        <v>13</v>
      </c>
      <c r="D12" s="126">
        <v>0.4</v>
      </c>
      <c r="E12" s="126">
        <v>0.2</v>
      </c>
      <c r="F12" s="321"/>
      <c r="G12" s="274" t="s">
        <v>8</v>
      </c>
      <c r="H12" s="281" t="s">
        <v>140</v>
      </c>
      <c r="I12" s="282" t="s">
        <v>9</v>
      </c>
      <c r="J12" s="322" t="s">
        <v>83</v>
      </c>
      <c r="K12" s="324">
        <f t="shared" ref="K12:L12" si="0">IF(ISNUMBER(D10),D10,"")</f>
        <v>2997.065000000001</v>
      </c>
      <c r="L12" s="324">
        <f t="shared" si="0"/>
        <v>3499.6499999999996</v>
      </c>
      <c r="N12" s="119" t="s">
        <v>331</v>
      </c>
      <c r="O12" s="18" t="s">
        <v>332</v>
      </c>
      <c r="P12" s="123">
        <f>K46</f>
        <v>3.3939999999999997</v>
      </c>
      <c r="Q12" s="123">
        <f>L46</f>
        <v>28.060000000000002</v>
      </c>
    </row>
    <row r="13" spans="1:24">
      <c r="A13" s="278"/>
      <c r="B13" s="275" t="s">
        <v>478</v>
      </c>
      <c r="C13" s="276" t="s">
        <v>14</v>
      </c>
      <c r="D13" s="126">
        <v>8.293000000000001</v>
      </c>
      <c r="E13" s="126">
        <v>20.7</v>
      </c>
      <c r="F13" s="321"/>
      <c r="G13" s="274" t="s">
        <v>10</v>
      </c>
      <c r="H13" s="297" t="s">
        <v>11</v>
      </c>
      <c r="I13" s="282" t="s">
        <v>12</v>
      </c>
      <c r="J13" s="322" t="s">
        <v>84</v>
      </c>
      <c r="K13" s="324">
        <f t="shared" ref="K13:L13" si="1">IF(ISNUMBER(D11),D11,"")</f>
        <v>10.456000000000001</v>
      </c>
      <c r="L13" s="324">
        <f t="shared" si="1"/>
        <v>3</v>
      </c>
      <c r="N13" s="119" t="s">
        <v>333</v>
      </c>
      <c r="O13" s="18" t="s">
        <v>334</v>
      </c>
      <c r="P13" s="123">
        <f>K43</f>
        <v>767.95199999999988</v>
      </c>
      <c r="Q13" s="123">
        <f>L43</f>
        <v>936.61199999999997</v>
      </c>
    </row>
    <row r="14" spans="1:24">
      <c r="A14" s="278"/>
      <c r="B14" s="275" t="s">
        <v>479</v>
      </c>
      <c r="C14" s="276" t="s">
        <v>480</v>
      </c>
      <c r="D14" s="126">
        <v>4.6349999999999998</v>
      </c>
      <c r="E14" s="126">
        <v>11</v>
      </c>
      <c r="F14" s="321"/>
      <c r="G14" s="278"/>
      <c r="H14" s="298"/>
      <c r="I14" s="282" t="s">
        <v>13</v>
      </c>
      <c r="J14" s="322" t="s">
        <v>85</v>
      </c>
      <c r="K14" s="324">
        <f>IF(OR(ISNUMBER(D12),ISNUMBER(D35)),D12+D35,"")</f>
        <v>2563.7000000000003</v>
      </c>
      <c r="L14" s="324">
        <f>IF(OR(ISNUMBER(E12),ISNUMBER(E35)),E12+E35,"")</f>
        <v>3327.92</v>
      </c>
      <c r="N14" s="119" t="s">
        <v>335</v>
      </c>
      <c r="O14" s="18" t="s">
        <v>336</v>
      </c>
      <c r="P14" s="123">
        <f>K10</f>
        <v>23.023999999999994</v>
      </c>
      <c r="Q14" s="123">
        <f>L10</f>
        <v>3.0680000000000001</v>
      </c>
    </row>
    <row r="15" spans="1:24">
      <c r="A15" s="278"/>
      <c r="B15" s="275" t="s">
        <v>481</v>
      </c>
      <c r="C15" s="276" t="s">
        <v>15</v>
      </c>
      <c r="D15" s="126">
        <v>40.89</v>
      </c>
      <c r="E15" s="126">
        <v>32</v>
      </c>
      <c r="F15" s="321"/>
      <c r="G15" s="278"/>
      <c r="H15" s="298"/>
      <c r="I15" s="282" t="s">
        <v>14</v>
      </c>
      <c r="J15" s="322" t="s">
        <v>86</v>
      </c>
      <c r="K15" s="324">
        <f>IF(OR(ISNUMBER(D13),ISNUMBER(D14)),D13+D14,"")</f>
        <v>12.928000000000001</v>
      </c>
      <c r="L15" s="324">
        <f>IF(OR(ISNUMBER(E13),ISNUMBER(E14)),E13+E14,"")</f>
        <v>31.7</v>
      </c>
      <c r="N15" s="119" t="s">
        <v>337</v>
      </c>
      <c r="O15" s="18" t="s">
        <v>322</v>
      </c>
      <c r="P15" s="123">
        <f>K47</f>
        <v>11121.943999999994</v>
      </c>
      <c r="Q15" s="123">
        <f>L47</f>
        <v>12291.027</v>
      </c>
    </row>
    <row r="16" spans="1:24">
      <c r="A16" s="278"/>
      <c r="B16" s="275" t="s">
        <v>482</v>
      </c>
      <c r="C16" s="276" t="s">
        <v>16</v>
      </c>
      <c r="D16" s="126">
        <v>202.24700000000001</v>
      </c>
      <c r="E16" s="126">
        <v>412.65300000000002</v>
      </c>
      <c r="F16" s="321"/>
      <c r="G16" s="278"/>
      <c r="H16" s="298"/>
      <c r="I16" s="282" t="s">
        <v>15</v>
      </c>
      <c r="J16" s="322" t="s">
        <v>87</v>
      </c>
      <c r="K16" s="324">
        <f>IF(ISNUMBER(D15),D15,"")</f>
        <v>40.89</v>
      </c>
      <c r="L16" s="324">
        <f>IF(ISNUMBER(E15),E15,"")</f>
        <v>32</v>
      </c>
      <c r="N16" s="119" t="s">
        <v>338</v>
      </c>
      <c r="O16" s="18" t="s">
        <v>339</v>
      </c>
      <c r="P16" s="123">
        <f>K48</f>
        <v>35063.442000000046</v>
      </c>
      <c r="Q16" s="123">
        <f>L48</f>
        <v>28802.170999999998</v>
      </c>
    </row>
    <row r="17" spans="1:17">
      <c r="A17" s="278"/>
      <c r="B17" s="306" t="s">
        <v>483</v>
      </c>
      <c r="C17" s="276" t="s">
        <v>484</v>
      </c>
      <c r="D17" s="126">
        <v>47.82</v>
      </c>
      <c r="E17" s="126">
        <v>62</v>
      </c>
      <c r="F17" s="321"/>
      <c r="G17" s="278"/>
      <c r="H17" s="298"/>
      <c r="I17" s="282" t="s">
        <v>16</v>
      </c>
      <c r="J17" s="322" t="s">
        <v>88</v>
      </c>
      <c r="K17" s="324">
        <f>IF(OR(ISNUMBER(D16),ISNUMBER(D17)),D16+D17,"")</f>
        <v>250.06700000000001</v>
      </c>
      <c r="L17" s="324">
        <f>IF(OR(ISNUMBER(E16),ISNUMBER(E17)),E16+E17,"")</f>
        <v>474.65300000000002</v>
      </c>
      <c r="N17" s="119" t="s">
        <v>340</v>
      </c>
      <c r="O17" s="18" t="s">
        <v>341</v>
      </c>
      <c r="P17" s="123">
        <f>K54</f>
        <v>71.478999999999999</v>
      </c>
      <c r="Q17" s="123">
        <f>L54</f>
        <v>236.565</v>
      </c>
    </row>
    <row r="18" spans="1:17">
      <c r="A18" s="278"/>
      <c r="B18" s="307" t="s">
        <v>485</v>
      </c>
      <c r="C18" s="276" t="s">
        <v>17</v>
      </c>
      <c r="D18" s="126">
        <v>0.66600000000000004</v>
      </c>
      <c r="E18" s="126">
        <v>0</v>
      </c>
      <c r="F18" s="321"/>
      <c r="G18" s="278"/>
      <c r="H18" s="298"/>
      <c r="I18" s="282" t="s">
        <v>17</v>
      </c>
      <c r="J18" s="322" t="s">
        <v>89</v>
      </c>
      <c r="K18" s="324">
        <f>IF(ISNUMBER(D18),D18,"")</f>
        <v>0.66600000000000004</v>
      </c>
      <c r="L18" s="324">
        <f t="shared" ref="L18:L21" si="2">IF(ISNUMBER(E18),E18,"")</f>
        <v>0</v>
      </c>
      <c r="N18" s="119" t="s">
        <v>342</v>
      </c>
      <c r="O18" s="18" t="s">
        <v>343</v>
      </c>
      <c r="P18" s="123">
        <f>K49</f>
        <v>64.385999999999996</v>
      </c>
      <c r="Q18" s="123">
        <f>L49</f>
        <v>67.33</v>
      </c>
    </row>
    <row r="19" spans="1:17">
      <c r="A19" s="278"/>
      <c r="B19" s="307" t="s">
        <v>486</v>
      </c>
      <c r="C19" s="276" t="s">
        <v>18</v>
      </c>
      <c r="D19" s="126">
        <v>4</v>
      </c>
      <c r="E19" s="126">
        <v>0</v>
      </c>
      <c r="F19" s="321"/>
      <c r="G19" s="278"/>
      <c r="H19" s="298"/>
      <c r="I19" s="282" t="s">
        <v>18</v>
      </c>
      <c r="J19" s="322" t="s">
        <v>90</v>
      </c>
      <c r="K19" s="324">
        <f t="shared" ref="K19:K20" si="3">IF(ISNUMBER(D19),D19,"")</f>
        <v>4</v>
      </c>
      <c r="L19" s="324">
        <f t="shared" si="2"/>
        <v>0</v>
      </c>
      <c r="N19" s="119" t="s">
        <v>344</v>
      </c>
      <c r="O19" s="18" t="s">
        <v>345</v>
      </c>
      <c r="P19" s="123">
        <f>K38</f>
        <v>8577.4579999999969</v>
      </c>
      <c r="Q19" s="123">
        <f>L38</f>
        <v>8382.7319999999982</v>
      </c>
    </row>
    <row r="20" spans="1:17">
      <c r="A20" s="278"/>
      <c r="B20" s="307" t="s">
        <v>487</v>
      </c>
      <c r="C20" s="276" t="s">
        <v>19</v>
      </c>
      <c r="D20" s="126">
        <v>0</v>
      </c>
      <c r="E20" s="126">
        <v>0</v>
      </c>
      <c r="F20" s="321"/>
      <c r="G20" s="278"/>
      <c r="H20" s="298"/>
      <c r="I20" s="282" t="s">
        <v>19</v>
      </c>
      <c r="J20" s="322" t="s">
        <v>141</v>
      </c>
      <c r="K20" s="324">
        <f t="shared" si="3"/>
        <v>0</v>
      </c>
      <c r="L20" s="324">
        <f t="shared" si="2"/>
        <v>0</v>
      </c>
      <c r="N20" s="119" t="s">
        <v>346</v>
      </c>
      <c r="O20" s="18" t="s">
        <v>347</v>
      </c>
      <c r="P20" s="123">
        <f>K39</f>
        <v>134.99799999999999</v>
      </c>
      <c r="Q20" s="123">
        <f>L39</f>
        <v>312.08100000000002</v>
      </c>
    </row>
    <row r="21" spans="1:17">
      <c r="A21" s="278"/>
      <c r="B21" s="277" t="s">
        <v>143</v>
      </c>
      <c r="C21" s="276" t="s">
        <v>142</v>
      </c>
      <c r="D21" s="126">
        <v>0</v>
      </c>
      <c r="E21" s="126">
        <v>0</v>
      </c>
      <c r="F21" s="321"/>
      <c r="G21" s="278"/>
      <c r="H21" s="298"/>
      <c r="I21" s="282" t="s">
        <v>142</v>
      </c>
      <c r="J21" s="322" t="s">
        <v>143</v>
      </c>
      <c r="K21" s="324">
        <f>IF(ISNUMBER(D21),D21,"")</f>
        <v>0</v>
      </c>
      <c r="L21" s="324">
        <f t="shared" si="2"/>
        <v>0</v>
      </c>
      <c r="N21" s="119" t="s">
        <v>348</v>
      </c>
      <c r="O21" s="18" t="s">
        <v>349</v>
      </c>
      <c r="P21" s="123">
        <f>K76</f>
        <v>657.35499999999934</v>
      </c>
      <c r="Q21" s="123">
        <f>L76</f>
        <v>550.38700000000006</v>
      </c>
    </row>
    <row r="22" spans="1:17">
      <c r="A22" s="278"/>
      <c r="B22" s="307" t="s">
        <v>488</v>
      </c>
      <c r="C22" s="276" t="s">
        <v>20</v>
      </c>
      <c r="D22" s="126">
        <v>82.788000000000011</v>
      </c>
      <c r="E22" s="126">
        <v>29.76</v>
      </c>
      <c r="F22" s="321"/>
      <c r="G22" s="278"/>
      <c r="H22" s="298"/>
      <c r="I22" s="282" t="s">
        <v>20</v>
      </c>
      <c r="J22" s="322" t="s">
        <v>91</v>
      </c>
      <c r="K22" s="324">
        <f>IF(OR(ISNUMBER(D22),ISNUMBER(D89)),D22+D89,"")</f>
        <v>193.041</v>
      </c>
      <c r="L22" s="324">
        <f>IF(OR(ISNUMBER(E22),ISNUMBER(E89)),E22+E89,"")</f>
        <v>109.06</v>
      </c>
      <c r="N22" s="119" t="s">
        <v>350</v>
      </c>
      <c r="O22" s="18" t="s">
        <v>351</v>
      </c>
      <c r="P22" s="123">
        <f>K79+K34+K35+K37</f>
        <v>57.711000000000006</v>
      </c>
      <c r="Q22" s="123">
        <f>L79+L34+L35+L37</f>
        <v>22.807999999999996</v>
      </c>
    </row>
    <row r="23" spans="1:17">
      <c r="A23" s="278"/>
      <c r="B23" s="307" t="s">
        <v>489</v>
      </c>
      <c r="C23" s="276" t="s">
        <v>21</v>
      </c>
      <c r="D23" s="126">
        <v>0</v>
      </c>
      <c r="E23" s="126">
        <v>2</v>
      </c>
      <c r="F23" s="321"/>
      <c r="G23" s="278"/>
      <c r="H23" s="298"/>
      <c r="I23" s="282" t="s">
        <v>21</v>
      </c>
      <c r="J23" s="322" t="s">
        <v>144</v>
      </c>
      <c r="K23" s="324">
        <f>IF(ISNUMBER(D23),D23,"")</f>
        <v>0</v>
      </c>
      <c r="L23" s="324">
        <f>IF(ISNUMBER(E23),E23,"")</f>
        <v>2</v>
      </c>
      <c r="N23" s="119" t="s">
        <v>352</v>
      </c>
      <c r="O23" s="18" t="s">
        <v>353</v>
      </c>
      <c r="P23" s="123">
        <f>K77</f>
        <v>263.78399999999999</v>
      </c>
      <c r="Q23" s="123">
        <f>L77</f>
        <v>212.29899999999998</v>
      </c>
    </row>
    <row r="24" spans="1:17">
      <c r="A24" s="278"/>
      <c r="B24" s="307" t="s">
        <v>490</v>
      </c>
      <c r="C24" s="276" t="s">
        <v>22</v>
      </c>
      <c r="D24" s="126">
        <v>64.932999999999993</v>
      </c>
      <c r="E24" s="126">
        <v>13.94</v>
      </c>
      <c r="F24" s="321"/>
      <c r="G24" s="278"/>
      <c r="H24" s="298"/>
      <c r="I24" s="282" t="s">
        <v>22</v>
      </c>
      <c r="J24" s="322" t="s">
        <v>92</v>
      </c>
      <c r="K24" s="324">
        <f>IF(ISNUMBER(D24),D24,"")</f>
        <v>64.932999999999993</v>
      </c>
      <c r="L24" s="324">
        <f>IF(ISNUMBER(E24),E24,"")</f>
        <v>13.94</v>
      </c>
      <c r="N24" s="119" t="s">
        <v>354</v>
      </c>
      <c r="O24" s="18" t="s">
        <v>355</v>
      </c>
      <c r="P24" s="305"/>
      <c r="Q24" s="305"/>
    </row>
    <row r="25" spans="1:17">
      <c r="A25" s="278"/>
      <c r="B25" s="307" t="s">
        <v>491</v>
      </c>
      <c r="C25" s="276" t="s">
        <v>23</v>
      </c>
      <c r="D25" s="126">
        <v>378.98200000000003</v>
      </c>
      <c r="E25" s="126">
        <v>39.520000000000003</v>
      </c>
      <c r="F25" s="321"/>
      <c r="G25" s="278"/>
      <c r="H25" s="298"/>
      <c r="I25" s="282" t="s">
        <v>23</v>
      </c>
      <c r="J25" s="322" t="s">
        <v>93</v>
      </c>
      <c r="K25" s="324">
        <f>IF(OR(ISNUMBER(D25),ISNUMBER(D82)),D25+D82,"")</f>
        <v>696.58699999999999</v>
      </c>
      <c r="L25" s="324">
        <f>IF(OR(ISNUMBER(E25),ISNUMBER(E82)),E25+E82,"")</f>
        <v>576.23500000000001</v>
      </c>
      <c r="N25" s="119" t="s">
        <v>356</v>
      </c>
      <c r="O25" s="18" t="s">
        <v>357</v>
      </c>
      <c r="P25" s="123">
        <f>K70+K67+K68+K72</f>
        <v>10337.806</v>
      </c>
      <c r="Q25" s="123">
        <f>L70+L67+L68+L72</f>
        <v>11517.412</v>
      </c>
    </row>
    <row r="26" spans="1:17">
      <c r="A26" s="278"/>
      <c r="B26" s="307" t="s">
        <v>492</v>
      </c>
      <c r="C26" s="276" t="s">
        <v>24</v>
      </c>
      <c r="D26" s="126">
        <v>6077.426999999997</v>
      </c>
      <c r="E26" s="126">
        <v>956.80199999999991</v>
      </c>
      <c r="F26" s="321"/>
      <c r="G26" s="278"/>
      <c r="H26" s="298"/>
      <c r="I26" s="282" t="s">
        <v>24</v>
      </c>
      <c r="J26" s="322" t="s">
        <v>94</v>
      </c>
      <c r="K26" s="324">
        <f>IF(ISNUMBER(D26),D26,"")</f>
        <v>6077.426999999997</v>
      </c>
      <c r="L26" s="324">
        <f t="shared" ref="L26:L27" si="4">IF(ISNUMBER(E26),E26,"")</f>
        <v>956.80199999999991</v>
      </c>
      <c r="N26" s="62"/>
      <c r="O26" s="63" t="s">
        <v>407</v>
      </c>
      <c r="P26" s="115"/>
      <c r="Q26" s="116"/>
    </row>
    <row r="27" spans="1:17">
      <c r="A27" s="278"/>
      <c r="B27" s="307" t="s">
        <v>493</v>
      </c>
      <c r="C27" s="276" t="s">
        <v>25</v>
      </c>
      <c r="D27" s="126">
        <v>0</v>
      </c>
      <c r="E27" s="126">
        <v>0</v>
      </c>
      <c r="F27" s="321"/>
      <c r="G27" s="278"/>
      <c r="H27" s="298"/>
      <c r="I27" s="282" t="s">
        <v>25</v>
      </c>
      <c r="J27" s="322" t="s">
        <v>145</v>
      </c>
      <c r="K27" s="324">
        <f>IF(ISNUMBER(D27),D27,"")</f>
        <v>0</v>
      </c>
      <c r="L27" s="324">
        <f t="shared" si="4"/>
        <v>0</v>
      </c>
      <c r="N27" s="119" t="s">
        <v>358</v>
      </c>
      <c r="O27" s="19" t="s">
        <v>84</v>
      </c>
      <c r="P27" s="122">
        <f>K13</f>
        <v>10.456000000000001</v>
      </c>
      <c r="Q27" s="122">
        <f>L13</f>
        <v>3</v>
      </c>
    </row>
    <row r="28" spans="1:17" ht="25.5">
      <c r="A28" s="278"/>
      <c r="B28" s="308" t="s">
        <v>494</v>
      </c>
      <c r="C28" s="276" t="s">
        <v>495</v>
      </c>
      <c r="D28" s="126">
        <v>214.65300000000002</v>
      </c>
      <c r="E28" s="126">
        <v>182.04</v>
      </c>
      <c r="F28" s="321"/>
      <c r="G28" s="278"/>
      <c r="H28" s="298"/>
      <c r="I28" s="282" t="s">
        <v>146</v>
      </c>
      <c r="J28" s="322" t="s">
        <v>147</v>
      </c>
      <c r="K28" s="323"/>
      <c r="L28" s="323"/>
      <c r="N28" s="119" t="s">
        <v>359</v>
      </c>
      <c r="O28" s="19" t="s">
        <v>90</v>
      </c>
      <c r="P28" s="122">
        <f>K19</f>
        <v>4</v>
      </c>
      <c r="Q28" s="122">
        <f>L19</f>
        <v>0</v>
      </c>
    </row>
    <row r="29" spans="1:17">
      <c r="A29" s="278"/>
      <c r="B29" s="306" t="s">
        <v>496</v>
      </c>
      <c r="C29" s="276" t="s">
        <v>26</v>
      </c>
      <c r="D29" s="126">
        <v>0.56999999999999995</v>
      </c>
      <c r="E29" s="126">
        <v>0</v>
      </c>
      <c r="F29" s="321"/>
      <c r="G29" s="278"/>
      <c r="H29" s="298"/>
      <c r="I29" s="282" t="s">
        <v>148</v>
      </c>
      <c r="J29" s="322" t="s">
        <v>149</v>
      </c>
      <c r="K29" s="323"/>
      <c r="L29" s="323"/>
      <c r="N29" s="119" t="s">
        <v>360</v>
      </c>
      <c r="O29" s="19" t="s">
        <v>361</v>
      </c>
      <c r="P29" s="122">
        <f>K17</f>
        <v>250.06700000000001</v>
      </c>
      <c r="Q29" s="122">
        <f>L17</f>
        <v>474.65300000000002</v>
      </c>
    </row>
    <row r="30" spans="1:17">
      <c r="A30" s="278"/>
      <c r="B30" s="306" t="s">
        <v>497</v>
      </c>
      <c r="C30" s="276" t="s">
        <v>27</v>
      </c>
      <c r="D30" s="126">
        <v>158.63800000000001</v>
      </c>
      <c r="E30" s="126">
        <v>357.77799999999991</v>
      </c>
      <c r="F30" s="321"/>
      <c r="G30" s="278"/>
      <c r="H30" s="298"/>
      <c r="I30" s="282" t="s">
        <v>26</v>
      </c>
      <c r="J30" s="322" t="s">
        <v>150</v>
      </c>
      <c r="K30" s="324">
        <f>IF(ISNUMBER(D29),D29,"")</f>
        <v>0.56999999999999995</v>
      </c>
      <c r="L30" s="324">
        <f>IF(ISNUMBER(E29),E29,"")</f>
        <v>0</v>
      </c>
      <c r="N30" s="119" t="s">
        <v>362</v>
      </c>
      <c r="O30" s="19" t="s">
        <v>91</v>
      </c>
      <c r="P30" s="122">
        <f>K22</f>
        <v>193.041</v>
      </c>
      <c r="Q30" s="122">
        <f>L22</f>
        <v>109.06</v>
      </c>
    </row>
    <row r="31" spans="1:17">
      <c r="A31" s="278"/>
      <c r="B31" s="306" t="s">
        <v>498</v>
      </c>
      <c r="C31" s="276" t="s">
        <v>28</v>
      </c>
      <c r="D31" s="126">
        <v>0.6</v>
      </c>
      <c r="E31" s="126">
        <v>2</v>
      </c>
      <c r="F31" s="321"/>
      <c r="G31" s="278"/>
      <c r="H31" s="298"/>
      <c r="I31" s="282" t="s">
        <v>27</v>
      </c>
      <c r="J31" s="322" t="s">
        <v>95</v>
      </c>
      <c r="K31" s="324">
        <f>IF(OR(ISNUMBER(D30),ISNUMBER(D34)),D30+D34,"")</f>
        <v>517.66999999999996</v>
      </c>
      <c r="L31" s="324">
        <f>IF(OR(ISNUMBER(E30),ISNUMBER(E34)),E30+E34,"")</f>
        <v>497.02999999999992</v>
      </c>
      <c r="N31" s="119" t="s">
        <v>363</v>
      </c>
      <c r="O31" s="19" t="s">
        <v>94</v>
      </c>
      <c r="P31" s="122">
        <f>K26</f>
        <v>6077.426999999997</v>
      </c>
      <c r="Q31" s="122">
        <f>L26</f>
        <v>956.80199999999991</v>
      </c>
    </row>
    <row r="32" spans="1:17">
      <c r="A32" s="278"/>
      <c r="B32" s="306" t="s">
        <v>499</v>
      </c>
      <c r="C32" s="276" t="s">
        <v>29</v>
      </c>
      <c r="D32" s="126">
        <v>70.356000000000009</v>
      </c>
      <c r="E32" s="126">
        <v>0</v>
      </c>
      <c r="F32" s="321"/>
      <c r="G32" s="278"/>
      <c r="H32" s="298"/>
      <c r="I32" s="282" t="s">
        <v>28</v>
      </c>
      <c r="J32" s="322" t="s">
        <v>96</v>
      </c>
      <c r="K32" s="324">
        <f>IF(ISNUMBER(D31),D31,"")</f>
        <v>0.6</v>
      </c>
      <c r="L32" s="324">
        <f>IF(ISNUMBER(E31),E31,"")</f>
        <v>2</v>
      </c>
      <c r="N32" s="119" t="s">
        <v>364</v>
      </c>
      <c r="O32" s="19" t="s">
        <v>87</v>
      </c>
      <c r="P32" s="122">
        <f>K16</f>
        <v>40.89</v>
      </c>
      <c r="Q32" s="122">
        <f>L16</f>
        <v>32</v>
      </c>
    </row>
    <row r="33" spans="1:17">
      <c r="A33" s="278"/>
      <c r="B33" s="306" t="s">
        <v>500</v>
      </c>
      <c r="C33" s="276" t="s">
        <v>30</v>
      </c>
      <c r="D33" s="126">
        <v>0</v>
      </c>
      <c r="E33" s="126">
        <v>0</v>
      </c>
      <c r="F33" s="321"/>
      <c r="G33" s="278"/>
      <c r="H33" s="298"/>
      <c r="I33" s="282" t="s">
        <v>29</v>
      </c>
      <c r="J33" s="322" t="s">
        <v>97</v>
      </c>
      <c r="K33" s="324">
        <f>IF(ISNUMBER(D32),D32,"")</f>
        <v>70.356000000000009</v>
      </c>
      <c r="L33" s="324">
        <f>IF(ISNUMBER(E32),E32,"")</f>
        <v>0</v>
      </c>
      <c r="N33" s="119" t="s">
        <v>365</v>
      </c>
      <c r="O33" s="19" t="s">
        <v>145</v>
      </c>
      <c r="P33" s="122">
        <f>K27</f>
        <v>0</v>
      </c>
      <c r="Q33" s="122">
        <f>L27</f>
        <v>0</v>
      </c>
    </row>
    <row r="34" spans="1:17">
      <c r="A34" s="278"/>
      <c r="B34" s="306" t="s">
        <v>501</v>
      </c>
      <c r="C34" s="276" t="s">
        <v>502</v>
      </c>
      <c r="D34" s="126">
        <v>359.03199999999998</v>
      </c>
      <c r="E34" s="126">
        <v>139.25200000000001</v>
      </c>
      <c r="F34" s="321"/>
      <c r="G34" s="278"/>
      <c r="H34" s="298"/>
      <c r="I34" s="282" t="s">
        <v>99</v>
      </c>
      <c r="J34" s="322" t="s">
        <v>98</v>
      </c>
      <c r="K34" s="324">
        <f>IF(ISNUMBER(D38),D38*0.5,"")</f>
        <v>0.36599999999999999</v>
      </c>
      <c r="L34" s="324">
        <f>IF(ISNUMBER(E38),E38*0.5,"")</f>
        <v>0.09</v>
      </c>
      <c r="N34" s="119" t="s">
        <v>366</v>
      </c>
      <c r="O34" s="19" t="s">
        <v>89</v>
      </c>
      <c r="P34" s="122">
        <f>K18</f>
        <v>0.66600000000000004</v>
      </c>
      <c r="Q34" s="122">
        <f>L18</f>
        <v>0</v>
      </c>
    </row>
    <row r="35" spans="1:17">
      <c r="A35" s="279"/>
      <c r="B35" s="309" t="s">
        <v>503</v>
      </c>
      <c r="C35" s="310" t="s">
        <v>504</v>
      </c>
      <c r="D35" s="126">
        <v>2563.3000000000002</v>
      </c>
      <c r="E35" s="126">
        <v>3327.7200000000003</v>
      </c>
      <c r="F35" s="321"/>
      <c r="G35" s="278"/>
      <c r="H35" s="298"/>
      <c r="I35" s="282" t="s">
        <v>101</v>
      </c>
      <c r="J35" s="322" t="s">
        <v>100</v>
      </c>
      <c r="K35" s="324">
        <f>IF(ISNUMBER(D38),D38*0.5,"")</f>
        <v>0.36599999999999999</v>
      </c>
      <c r="L35" s="324">
        <f>IF(ISNUMBER(E38),E38*0.5,"")</f>
        <v>0.09</v>
      </c>
      <c r="N35" s="119" t="s">
        <v>367</v>
      </c>
      <c r="O35" s="19" t="s">
        <v>141</v>
      </c>
      <c r="P35" s="122">
        <f>K20</f>
        <v>0</v>
      </c>
      <c r="Q35" s="122">
        <f>L20</f>
        <v>0</v>
      </c>
    </row>
    <row r="36" spans="1:17">
      <c r="A36" s="274" t="s">
        <v>31</v>
      </c>
      <c r="B36" s="306" t="s">
        <v>505</v>
      </c>
      <c r="C36" s="283" t="s">
        <v>33</v>
      </c>
      <c r="D36" s="126">
        <v>56.247000000000007</v>
      </c>
      <c r="E36" s="126">
        <v>17.387999999999998</v>
      </c>
      <c r="F36" s="321"/>
      <c r="G36" s="278"/>
      <c r="H36" s="298"/>
      <c r="I36" s="282" t="s">
        <v>30</v>
      </c>
      <c r="J36" s="322" t="s">
        <v>151</v>
      </c>
      <c r="K36" s="324">
        <f>IF(ISNUMBER(D33),D33,"")</f>
        <v>0</v>
      </c>
      <c r="L36" s="324">
        <f>IF(ISNUMBER(E33),E33,"")</f>
        <v>0</v>
      </c>
      <c r="N36" s="119" t="s">
        <v>368</v>
      </c>
      <c r="O36" s="19" t="s">
        <v>147</v>
      </c>
      <c r="P36" s="124"/>
      <c r="Q36" s="124"/>
    </row>
    <row r="37" spans="1:17">
      <c r="A37" s="278"/>
      <c r="B37" s="306" t="s">
        <v>506</v>
      </c>
      <c r="C37" s="276" t="s">
        <v>507</v>
      </c>
      <c r="D37" s="126">
        <v>0</v>
      </c>
      <c r="E37" s="126">
        <v>5.0599999999999996</v>
      </c>
      <c r="F37" s="321"/>
      <c r="G37" s="274" t="s">
        <v>31</v>
      </c>
      <c r="H37" s="300" t="s">
        <v>32</v>
      </c>
      <c r="I37" s="282" t="s">
        <v>33</v>
      </c>
      <c r="J37" s="322" t="s">
        <v>102</v>
      </c>
      <c r="K37" s="324">
        <f>IF(ISNUMBER(D36),D36,"")</f>
        <v>56.247000000000007</v>
      </c>
      <c r="L37" s="324">
        <f>IF(ISNUMBER(E36),E36,"")</f>
        <v>17.387999999999998</v>
      </c>
      <c r="N37" s="119" t="s">
        <v>369</v>
      </c>
      <c r="O37" s="19" t="s">
        <v>86</v>
      </c>
      <c r="P37" s="122">
        <f>K15</f>
        <v>12.928000000000001</v>
      </c>
      <c r="Q37" s="122">
        <f>L15</f>
        <v>31.7</v>
      </c>
    </row>
    <row r="38" spans="1:17" ht="25.5">
      <c r="A38" s="279"/>
      <c r="B38" s="306" t="s">
        <v>508</v>
      </c>
      <c r="C38" s="276" t="s">
        <v>509</v>
      </c>
      <c r="D38" s="126">
        <v>0.73199999999999998</v>
      </c>
      <c r="E38" s="126">
        <v>0.18</v>
      </c>
      <c r="F38" s="321"/>
      <c r="G38" s="274" t="s">
        <v>34</v>
      </c>
      <c r="H38" s="300" t="s">
        <v>152</v>
      </c>
      <c r="I38" s="282" t="s">
        <v>35</v>
      </c>
      <c r="J38" s="322" t="s">
        <v>103</v>
      </c>
      <c r="K38" s="324">
        <f>IF(OR(ISNUMBER(D39),ISNUMBER(D41)),D39+D41,"")</f>
        <v>8577.4579999999969</v>
      </c>
      <c r="L38" s="324">
        <f>IF(OR(ISNUMBER(E39),ISNUMBER(E41)),E39+E41,"")</f>
        <v>8382.7319999999982</v>
      </c>
      <c r="N38" s="119" t="s">
        <v>370</v>
      </c>
      <c r="O38" s="19" t="s">
        <v>143</v>
      </c>
      <c r="P38" s="122">
        <f>K21</f>
        <v>0</v>
      </c>
      <c r="Q38" s="122">
        <f>L21</f>
        <v>0</v>
      </c>
    </row>
    <row r="39" spans="1:17">
      <c r="A39" s="274" t="s">
        <v>34</v>
      </c>
      <c r="B39" s="306" t="s">
        <v>510</v>
      </c>
      <c r="C39" s="284" t="s">
        <v>35</v>
      </c>
      <c r="D39" s="126">
        <v>3681.4979999999991</v>
      </c>
      <c r="E39" s="126">
        <v>2737.4540000000002</v>
      </c>
      <c r="F39" s="321"/>
      <c r="G39" s="285"/>
      <c r="H39" s="301"/>
      <c r="I39" s="282" t="s">
        <v>105</v>
      </c>
      <c r="J39" s="322" t="s">
        <v>104</v>
      </c>
      <c r="K39" s="324">
        <f>IF(OR(ISNUMBER(D40),ISNUMBER(D42)),D40+D42,"")</f>
        <v>134.99799999999999</v>
      </c>
      <c r="L39" s="324">
        <f>IF(OR(ISNUMBER(E40),ISNUMBER(E42)),E40+E42,"")</f>
        <v>312.08100000000002</v>
      </c>
      <c r="N39" s="119" t="s">
        <v>371</v>
      </c>
      <c r="O39" s="19" t="s">
        <v>93</v>
      </c>
      <c r="P39" s="122">
        <f>K25</f>
        <v>696.58699999999999</v>
      </c>
      <c r="Q39" s="122">
        <f>L25</f>
        <v>576.23500000000001</v>
      </c>
    </row>
    <row r="40" spans="1:17" ht="15" customHeight="1">
      <c r="A40" s="285"/>
      <c r="B40" s="311" t="s">
        <v>511</v>
      </c>
      <c r="C40" s="312" t="s">
        <v>36</v>
      </c>
      <c r="D40" s="126">
        <v>0</v>
      </c>
      <c r="E40" s="126">
        <v>0</v>
      </c>
      <c r="F40" s="321"/>
      <c r="G40" s="274" t="s">
        <v>37</v>
      </c>
      <c r="H40" s="297" t="s">
        <v>153</v>
      </c>
      <c r="I40" s="282" t="s">
        <v>38</v>
      </c>
      <c r="J40" s="322" t="s">
        <v>106</v>
      </c>
      <c r="K40" s="324">
        <f>IF(ISNUMBER(D43),D43,"")</f>
        <v>792.56199999999944</v>
      </c>
      <c r="L40" s="324">
        <f>IF(ISNUMBER(E43),E43,"")</f>
        <v>502.80500000000001</v>
      </c>
      <c r="N40" s="119" t="s">
        <v>372</v>
      </c>
      <c r="O40" s="19" t="s">
        <v>85</v>
      </c>
      <c r="P40" s="122">
        <f>K14</f>
        <v>2563.7000000000003</v>
      </c>
      <c r="Q40" s="122">
        <f>L14</f>
        <v>3327.92</v>
      </c>
    </row>
    <row r="41" spans="1:17">
      <c r="A41" s="285"/>
      <c r="B41" s="311" t="s">
        <v>512</v>
      </c>
      <c r="C41" s="312" t="s">
        <v>513</v>
      </c>
      <c r="D41" s="126">
        <v>4895.9599999999982</v>
      </c>
      <c r="E41" s="126">
        <v>5645.2779999999984</v>
      </c>
      <c r="F41" s="321"/>
      <c r="G41" s="278"/>
      <c r="H41" s="298"/>
      <c r="I41" s="282" t="s">
        <v>39</v>
      </c>
      <c r="J41" s="322" t="s">
        <v>107</v>
      </c>
      <c r="K41" s="324">
        <f>IF(OR(ISNUMBER(D44),ISNUMBER(D69)),D44+D69,"")</f>
        <v>2125.2039999999984</v>
      </c>
      <c r="L41" s="324">
        <f>IF(OR(ISNUMBER(E44),ISNUMBER(E69)),E44+E69,"")</f>
        <v>1208.913</v>
      </c>
      <c r="N41" s="119" t="s">
        <v>373</v>
      </c>
      <c r="O41" s="19" t="s">
        <v>374</v>
      </c>
      <c r="P41" s="122">
        <f t="shared" ref="P41:Q43" si="5">K10</f>
        <v>23.023999999999994</v>
      </c>
      <c r="Q41" s="122">
        <f t="shared" si="5"/>
        <v>3.0680000000000001</v>
      </c>
    </row>
    <row r="42" spans="1:17">
      <c r="A42" s="286"/>
      <c r="B42" s="311" t="s">
        <v>514</v>
      </c>
      <c r="C42" s="312" t="s">
        <v>515</v>
      </c>
      <c r="D42" s="126">
        <v>134.99799999999999</v>
      </c>
      <c r="E42" s="126">
        <v>312.08100000000002</v>
      </c>
      <c r="F42" s="321"/>
      <c r="G42" s="278"/>
      <c r="H42" s="298"/>
      <c r="I42" s="282" t="s">
        <v>40</v>
      </c>
      <c r="J42" s="322" t="s">
        <v>108</v>
      </c>
      <c r="K42" s="324">
        <f>IF(OR(ISNUMBER(D45),ISNUMBER(D46)),D45+D46,"")</f>
        <v>95.921999999999997</v>
      </c>
      <c r="L42" s="324">
        <f>IF(OR(ISNUMBER(E45),ISNUMBER(E46)),E45+E46,"")</f>
        <v>82.25</v>
      </c>
      <c r="N42" s="119" t="s">
        <v>375</v>
      </c>
      <c r="O42" s="19" t="s">
        <v>82</v>
      </c>
      <c r="P42" s="123">
        <f t="shared" si="5"/>
        <v>3029.8910000000001</v>
      </c>
      <c r="Q42" s="123">
        <f t="shared" si="5"/>
        <v>4143.1769999999997</v>
      </c>
    </row>
    <row r="43" spans="1:17">
      <c r="A43" s="274" t="s">
        <v>37</v>
      </c>
      <c r="B43" s="306" t="s">
        <v>516</v>
      </c>
      <c r="C43" s="312" t="s">
        <v>38</v>
      </c>
      <c r="D43" s="126">
        <v>792.56199999999944</v>
      </c>
      <c r="E43" s="126">
        <v>502.80500000000001</v>
      </c>
      <c r="F43" s="321"/>
      <c r="G43" s="279"/>
      <c r="H43" s="299"/>
      <c r="I43" s="282" t="s">
        <v>41</v>
      </c>
      <c r="J43" s="322" t="s">
        <v>109</v>
      </c>
      <c r="K43" s="324">
        <f>IF(ISNUMBER(D47),D47,"")</f>
        <v>767.95199999999988</v>
      </c>
      <c r="L43" s="324">
        <f>IF(ISNUMBER(E47),E47,"")</f>
        <v>936.61199999999997</v>
      </c>
      <c r="N43" s="119" t="s">
        <v>376</v>
      </c>
      <c r="O43" s="19" t="s">
        <v>83</v>
      </c>
      <c r="P43" s="123">
        <f t="shared" si="5"/>
        <v>2997.065000000001</v>
      </c>
      <c r="Q43" s="123">
        <f t="shared" si="5"/>
        <v>3499.6499999999996</v>
      </c>
    </row>
    <row r="44" spans="1:17">
      <c r="A44" s="278"/>
      <c r="B44" s="306" t="s">
        <v>517</v>
      </c>
      <c r="C44" s="312" t="s">
        <v>39</v>
      </c>
      <c r="D44" s="126">
        <v>2047.1129999999982</v>
      </c>
      <c r="E44" s="126">
        <v>1120.4080000000001</v>
      </c>
      <c r="F44" s="321"/>
      <c r="G44" s="274" t="s">
        <v>42</v>
      </c>
      <c r="H44" s="287" t="s">
        <v>154</v>
      </c>
      <c r="I44" s="282" t="s">
        <v>43</v>
      </c>
      <c r="J44" s="322" t="s">
        <v>110</v>
      </c>
      <c r="K44" s="324">
        <f>IF(OR(ISNUMBER(D48),ISNUMBER(D50)),D48+D50,"")</f>
        <v>354.30399999999992</v>
      </c>
      <c r="L44" s="324">
        <f>IF(OR(ISNUMBER(E48),ISNUMBER(E50)),E48+E50,"")</f>
        <v>315.214</v>
      </c>
      <c r="N44" s="119" t="s">
        <v>377</v>
      </c>
      <c r="O44" s="19" t="s">
        <v>378</v>
      </c>
      <c r="P44" s="123">
        <f>K71</f>
        <v>28280.257000000056</v>
      </c>
      <c r="Q44" s="123">
        <f>L71</f>
        <v>29453.052999999985</v>
      </c>
    </row>
    <row r="45" spans="1:17">
      <c r="A45" s="278"/>
      <c r="B45" s="306" t="s">
        <v>518</v>
      </c>
      <c r="C45" s="312" t="s">
        <v>519</v>
      </c>
      <c r="D45" s="126">
        <v>59.056999999999995</v>
      </c>
      <c r="E45" s="126">
        <v>45.9</v>
      </c>
      <c r="F45" s="321"/>
      <c r="G45" s="278"/>
      <c r="H45" s="288"/>
      <c r="I45" s="282" t="s">
        <v>44</v>
      </c>
      <c r="J45" s="322" t="s">
        <v>111</v>
      </c>
      <c r="K45" s="324">
        <f>IF(ISNUMBER(D49),D49,"")</f>
        <v>5.2889999999999997</v>
      </c>
      <c r="L45" s="324">
        <f>IF(ISNUMBER(E49),E49,"")</f>
        <v>8.0250000000000004</v>
      </c>
      <c r="N45" s="119" t="s">
        <v>379</v>
      </c>
      <c r="O45" s="19" t="s">
        <v>176</v>
      </c>
      <c r="P45" s="123">
        <f>K45</f>
        <v>5.2889999999999997</v>
      </c>
      <c r="Q45" s="123">
        <f>L45</f>
        <v>8.0250000000000004</v>
      </c>
    </row>
    <row r="46" spans="1:17">
      <c r="A46" s="278"/>
      <c r="B46" s="306" t="s">
        <v>520</v>
      </c>
      <c r="C46" s="312" t="s">
        <v>40</v>
      </c>
      <c r="D46" s="126">
        <v>36.864999999999995</v>
      </c>
      <c r="E46" s="126">
        <v>36.35</v>
      </c>
      <c r="F46" s="321"/>
      <c r="G46" s="279"/>
      <c r="H46" s="289"/>
      <c r="I46" s="282" t="s">
        <v>45</v>
      </c>
      <c r="J46" s="322" t="s">
        <v>155</v>
      </c>
      <c r="K46" s="324">
        <f>IF(ISNUMBER(D51),D51,"")</f>
        <v>3.3939999999999997</v>
      </c>
      <c r="L46" s="324">
        <f>IF(ISNUMBER(E51),E51,"")</f>
        <v>28.060000000000002</v>
      </c>
      <c r="N46" s="119" t="s">
        <v>380</v>
      </c>
      <c r="O46" s="19" t="s">
        <v>381</v>
      </c>
      <c r="P46" s="305"/>
      <c r="Q46" s="305"/>
    </row>
    <row r="47" spans="1:17">
      <c r="A47" s="279"/>
      <c r="B47" s="306" t="s">
        <v>521</v>
      </c>
      <c r="C47" s="312" t="s">
        <v>41</v>
      </c>
      <c r="D47" s="126">
        <v>767.95199999999988</v>
      </c>
      <c r="E47" s="126">
        <v>936.61199999999997</v>
      </c>
      <c r="F47" s="321"/>
      <c r="G47" s="274" t="s">
        <v>46</v>
      </c>
      <c r="H47" s="297" t="s">
        <v>156</v>
      </c>
      <c r="I47" s="282" t="s">
        <v>47</v>
      </c>
      <c r="J47" s="322" t="s">
        <v>112</v>
      </c>
      <c r="K47" s="324">
        <f>IF(OR(ISNUMBER(D53),ISNUMBER(D53),ISNUMBER(D56),ISNUMBER(D57),ISNUMBER(D59)),D52+D53+D56+D57+D59,"")</f>
        <v>11121.943999999994</v>
      </c>
      <c r="L47" s="324">
        <f>IF(OR(ISNUMBER(E53),ISNUMBER(E53),ISNUMBER(E56),ISNUMBER(E57),ISNUMBER(E59)),E52+E53+E56+E57+E59,"")</f>
        <v>12291.027</v>
      </c>
      <c r="N47" s="119" t="s">
        <v>382</v>
      </c>
      <c r="O47" s="19" t="s">
        <v>383</v>
      </c>
      <c r="P47" s="123">
        <f>K55</f>
        <v>8</v>
      </c>
      <c r="Q47" s="123">
        <f>L55</f>
        <v>0.03</v>
      </c>
    </row>
    <row r="48" spans="1:17">
      <c r="A48" s="274" t="s">
        <v>42</v>
      </c>
      <c r="B48" s="306" t="s">
        <v>522</v>
      </c>
      <c r="C48" s="312" t="s">
        <v>43</v>
      </c>
      <c r="D48" s="126">
        <v>14.836999999999998</v>
      </c>
      <c r="E48" s="126">
        <v>40</v>
      </c>
      <c r="F48" s="321"/>
      <c r="G48" s="292"/>
      <c r="H48" s="298"/>
      <c r="I48" s="282" t="s">
        <v>48</v>
      </c>
      <c r="J48" s="322" t="s">
        <v>157</v>
      </c>
      <c r="K48" s="324">
        <f>IF(OR(ISNUMBER(D54),ISNUMBER(D55)),D54+D55,"")</f>
        <v>35063.442000000046</v>
      </c>
      <c r="L48" s="324">
        <f>IF(OR(ISNUMBER(E54),ISNUMBER(E55)),E54+E55,"")</f>
        <v>28802.170999999998</v>
      </c>
      <c r="N48" s="119" t="s">
        <v>384</v>
      </c>
      <c r="O48" s="19" t="s">
        <v>106</v>
      </c>
      <c r="P48" s="123">
        <f>K40</f>
        <v>792.56199999999944</v>
      </c>
      <c r="Q48" s="123">
        <f>L40</f>
        <v>502.80500000000001</v>
      </c>
    </row>
    <row r="49" spans="1:17">
      <c r="A49" s="278"/>
      <c r="B49" s="306" t="s">
        <v>523</v>
      </c>
      <c r="C49" s="312" t="s">
        <v>44</v>
      </c>
      <c r="D49" s="126">
        <v>5.2889999999999997</v>
      </c>
      <c r="E49" s="126">
        <v>8.0250000000000004</v>
      </c>
      <c r="F49" s="321"/>
      <c r="G49" s="292"/>
      <c r="H49" s="298"/>
      <c r="I49" s="282" t="s">
        <v>49</v>
      </c>
      <c r="J49" s="322" t="s">
        <v>158</v>
      </c>
      <c r="K49" s="324">
        <f>IF(ISNUMBER(D58),D58,"")</f>
        <v>64.385999999999996</v>
      </c>
      <c r="L49" s="324">
        <f>IF(ISNUMBER(E58),E58,"")</f>
        <v>67.33</v>
      </c>
      <c r="N49" s="119" t="s">
        <v>385</v>
      </c>
      <c r="O49" s="19" t="s">
        <v>108</v>
      </c>
      <c r="P49" s="123">
        <f>K42</f>
        <v>95.921999999999997</v>
      </c>
      <c r="Q49" s="123">
        <f>L42</f>
        <v>82.25</v>
      </c>
    </row>
    <row r="50" spans="1:17" ht="15" customHeight="1">
      <c r="A50" s="278"/>
      <c r="B50" s="306" t="s">
        <v>524</v>
      </c>
      <c r="C50" s="312" t="s">
        <v>525</v>
      </c>
      <c r="D50" s="126">
        <v>339.46699999999993</v>
      </c>
      <c r="E50" s="126">
        <v>275.214</v>
      </c>
      <c r="F50" s="321"/>
      <c r="G50" s="274" t="s">
        <v>50</v>
      </c>
      <c r="H50" s="297" t="s">
        <v>159</v>
      </c>
      <c r="I50" s="282" t="s">
        <v>51</v>
      </c>
      <c r="J50" s="322" t="s">
        <v>113</v>
      </c>
      <c r="K50" s="324">
        <f>IF(OR(ISNUMBER(D60),ISNUMBER(D63)),D60+D63,"")</f>
        <v>19382.513000000006</v>
      </c>
      <c r="L50" s="324">
        <f>IF(OR(ISNUMBER(E60),ISNUMBER(E63)),E60+E63,"")</f>
        <v>21108.399999999994</v>
      </c>
      <c r="N50" s="119" t="s">
        <v>386</v>
      </c>
      <c r="O50" s="19" t="s">
        <v>107</v>
      </c>
      <c r="P50" s="123">
        <f>K41</f>
        <v>2125.2039999999984</v>
      </c>
      <c r="Q50" s="123">
        <f>L41</f>
        <v>1208.913</v>
      </c>
    </row>
    <row r="51" spans="1:17">
      <c r="A51" s="279"/>
      <c r="B51" s="306" t="s">
        <v>526</v>
      </c>
      <c r="C51" s="312" t="s">
        <v>45</v>
      </c>
      <c r="D51" s="126">
        <v>3.3939999999999997</v>
      </c>
      <c r="E51" s="126">
        <v>28.060000000000002</v>
      </c>
      <c r="F51" s="321"/>
      <c r="G51" s="278"/>
      <c r="H51" s="298"/>
      <c r="I51" s="282" t="s">
        <v>115</v>
      </c>
      <c r="J51" s="322" t="s">
        <v>114</v>
      </c>
      <c r="K51" s="324">
        <f>IF(ISNUMBER(D61),D61,"")</f>
        <v>48698.314000000079</v>
      </c>
      <c r="L51" s="324">
        <f>IF(ISNUMBER(E61),E61,"")</f>
        <v>50261.048999999992</v>
      </c>
      <c r="N51" s="119" t="s">
        <v>387</v>
      </c>
      <c r="O51" s="19" t="s">
        <v>388</v>
      </c>
      <c r="P51" s="124"/>
      <c r="Q51" s="124"/>
    </row>
    <row r="52" spans="1:17">
      <c r="A52" s="290" t="s">
        <v>46</v>
      </c>
      <c r="B52" s="313" t="s">
        <v>527</v>
      </c>
      <c r="C52" s="314" t="s">
        <v>47</v>
      </c>
      <c r="D52" s="126">
        <v>8173.563999999993</v>
      </c>
      <c r="E52" s="126">
        <v>9517.759</v>
      </c>
      <c r="F52" s="321"/>
      <c r="G52" s="278"/>
      <c r="H52" s="298"/>
      <c r="I52" s="282" t="s">
        <v>52</v>
      </c>
      <c r="J52" s="322" t="s">
        <v>116</v>
      </c>
      <c r="K52" s="324">
        <f>IF(ISNUMBER(D62),D62*0.5,"")</f>
        <v>171.34</v>
      </c>
      <c r="L52" s="324">
        <f>IF(ISNUMBER(E62),E62*0.5,"")</f>
        <v>214.5</v>
      </c>
      <c r="N52" s="119" t="s">
        <v>389</v>
      </c>
      <c r="O52" s="19" t="s">
        <v>390</v>
      </c>
      <c r="P52" s="124"/>
      <c r="Q52" s="124"/>
    </row>
    <row r="53" spans="1:17">
      <c r="A53" s="291"/>
      <c r="B53" s="313" t="s">
        <v>528</v>
      </c>
      <c r="C53" s="314" t="s">
        <v>529</v>
      </c>
      <c r="D53" s="126">
        <v>403.87800000000004</v>
      </c>
      <c r="E53" s="126">
        <v>378.87899999999996</v>
      </c>
      <c r="F53" s="321"/>
      <c r="G53" s="278"/>
      <c r="H53" s="298"/>
      <c r="I53" s="282" t="s">
        <v>118</v>
      </c>
      <c r="J53" s="322" t="s">
        <v>117</v>
      </c>
      <c r="K53" s="324">
        <f>IF(ISNUMBER(D62),D62*0.5,"")</f>
        <v>171.34</v>
      </c>
      <c r="L53" s="324">
        <f>IF(ISNUMBER(E62),E62*0.5,"")</f>
        <v>214.5</v>
      </c>
      <c r="N53" s="119" t="s">
        <v>391</v>
      </c>
      <c r="O53" s="19" t="s">
        <v>392</v>
      </c>
      <c r="P53" s="122">
        <f>K56</f>
        <v>8.3999999999999991E-2</v>
      </c>
      <c r="Q53" s="122">
        <f>L56</f>
        <v>1.08</v>
      </c>
    </row>
    <row r="54" spans="1:17" ht="15" customHeight="1">
      <c r="A54" s="291"/>
      <c r="B54" s="313" t="s">
        <v>530</v>
      </c>
      <c r="C54" s="314" t="s">
        <v>48</v>
      </c>
      <c r="D54" s="126">
        <v>27446.939000000046</v>
      </c>
      <c r="E54" s="126">
        <v>22439.571</v>
      </c>
      <c r="F54" s="321"/>
      <c r="G54" s="274" t="s">
        <v>53</v>
      </c>
      <c r="H54" s="300" t="s">
        <v>54</v>
      </c>
      <c r="I54" s="282" t="s">
        <v>55</v>
      </c>
      <c r="J54" s="293" t="s">
        <v>160</v>
      </c>
      <c r="K54" s="324">
        <f>IF(OR(ISNUMBER(D66),ISNUMBER(D67),ISNUMBER(D68)),D66+D67+D68,"")</f>
        <v>71.478999999999999</v>
      </c>
      <c r="L54" s="324">
        <f>IF(OR(ISNUMBER(E66),ISNUMBER(E67),ISNUMBER(E68)),E66+E67+E68,"")</f>
        <v>236.565</v>
      </c>
      <c r="N54" s="62"/>
      <c r="O54" s="63" t="s">
        <v>405</v>
      </c>
      <c r="P54" s="115"/>
      <c r="Q54" s="116"/>
    </row>
    <row r="55" spans="1:17">
      <c r="A55" s="291"/>
      <c r="B55" s="313" t="s">
        <v>531</v>
      </c>
      <c r="C55" s="314" t="s">
        <v>532</v>
      </c>
      <c r="D55" s="126">
        <v>7616.5030000000033</v>
      </c>
      <c r="E55" s="126">
        <v>6362.5999999999995</v>
      </c>
      <c r="F55" s="321"/>
      <c r="G55" s="278"/>
      <c r="H55" s="301"/>
      <c r="I55" s="282" t="s">
        <v>56</v>
      </c>
      <c r="J55" s="322" t="s">
        <v>161</v>
      </c>
      <c r="K55" s="324">
        <f>IF(ISNUMBER(D70),D70,"")</f>
        <v>8</v>
      </c>
      <c r="L55" s="324">
        <f>IF(ISNUMBER(E70),E70,"")</f>
        <v>0.03</v>
      </c>
      <c r="N55" s="119" t="s">
        <v>393</v>
      </c>
      <c r="O55" s="19" t="s">
        <v>394</v>
      </c>
      <c r="P55" s="304"/>
      <c r="Q55" s="304"/>
    </row>
    <row r="56" spans="1:17">
      <c r="A56" s="291"/>
      <c r="B56" s="313" t="s">
        <v>533</v>
      </c>
      <c r="C56" s="314" t="s">
        <v>534</v>
      </c>
      <c r="D56" s="126">
        <v>624.25700000000018</v>
      </c>
      <c r="E56" s="126">
        <v>482.351</v>
      </c>
      <c r="F56" s="321"/>
      <c r="G56" s="278"/>
      <c r="H56" s="301"/>
      <c r="I56" s="282" t="s">
        <v>57</v>
      </c>
      <c r="J56" s="322" t="s">
        <v>162</v>
      </c>
      <c r="K56" s="324">
        <f>IF(ISNUMBER(D71),D71,"")</f>
        <v>8.3999999999999991E-2</v>
      </c>
      <c r="L56" s="324">
        <f>IF(ISNUMBER(E71),E71,"")</f>
        <v>1.08</v>
      </c>
      <c r="N56" s="119" t="s">
        <v>395</v>
      </c>
      <c r="O56" s="19" t="s">
        <v>396</v>
      </c>
      <c r="P56" s="304"/>
      <c r="Q56" s="304"/>
    </row>
    <row r="57" spans="1:17">
      <c r="A57" s="291"/>
      <c r="B57" s="313" t="s">
        <v>535</v>
      </c>
      <c r="C57" s="314" t="s">
        <v>536</v>
      </c>
      <c r="D57" s="126">
        <v>277.93499999999995</v>
      </c>
      <c r="E57" s="126">
        <v>281.44299999999998</v>
      </c>
      <c r="F57" s="321"/>
      <c r="G57" s="278"/>
      <c r="H57" s="301"/>
      <c r="I57" s="282" t="s">
        <v>120</v>
      </c>
      <c r="J57" s="322" t="s">
        <v>119</v>
      </c>
      <c r="K57" s="323"/>
      <c r="L57" s="323"/>
      <c r="N57" s="72"/>
      <c r="O57" s="73" t="s">
        <v>408</v>
      </c>
      <c r="P57" s="117"/>
      <c r="Q57" s="118"/>
    </row>
    <row r="58" spans="1:17">
      <c r="A58" s="291"/>
      <c r="B58" s="313" t="s">
        <v>538</v>
      </c>
      <c r="C58" s="314" t="s">
        <v>49</v>
      </c>
      <c r="D58" s="126">
        <v>64.385999999999996</v>
      </c>
      <c r="E58" s="126">
        <v>67.33</v>
      </c>
      <c r="F58" s="321"/>
      <c r="G58" s="278"/>
      <c r="H58" s="301"/>
      <c r="I58" s="282" t="s">
        <v>122</v>
      </c>
      <c r="J58" s="322" t="s">
        <v>121</v>
      </c>
      <c r="K58" s="323"/>
      <c r="L58" s="323"/>
      <c r="N58" s="282">
        <v>1</v>
      </c>
      <c r="O58" s="277" t="s">
        <v>397</v>
      </c>
      <c r="P58" s="303">
        <f>K23+K24+K30</f>
        <v>65.502999999999986</v>
      </c>
      <c r="Q58" s="303">
        <f>L23+L24+L30</f>
        <v>15.94</v>
      </c>
    </row>
    <row r="59" spans="1:17">
      <c r="A59" s="294"/>
      <c r="B59" s="315" t="s">
        <v>539</v>
      </c>
      <c r="C59" s="314" t="s">
        <v>540</v>
      </c>
      <c r="D59" s="126">
        <v>1642.3100000000006</v>
      </c>
      <c r="E59" s="126">
        <v>1630.5949999999998</v>
      </c>
      <c r="F59" s="321"/>
      <c r="G59" s="278"/>
      <c r="H59" s="301"/>
      <c r="I59" s="282" t="s">
        <v>124</v>
      </c>
      <c r="J59" s="322" t="s">
        <v>123</v>
      </c>
      <c r="K59" s="323"/>
      <c r="L59" s="323"/>
      <c r="N59" s="282">
        <v>2</v>
      </c>
      <c r="O59" s="277" t="s">
        <v>398</v>
      </c>
      <c r="P59" s="303">
        <f>K31+K32+K33+K36</f>
        <v>588.62599999999998</v>
      </c>
      <c r="Q59" s="303">
        <f>L31+L32+L33+L36</f>
        <v>499.02999999999992</v>
      </c>
    </row>
    <row r="60" spans="1:17">
      <c r="A60" s="295" t="s">
        <v>50</v>
      </c>
      <c r="B60" s="306" t="s">
        <v>541</v>
      </c>
      <c r="C60" s="312" t="s">
        <v>51</v>
      </c>
      <c r="D60" s="126">
        <v>3966.5170000000003</v>
      </c>
      <c r="E60" s="126">
        <v>3065.9749999999999</v>
      </c>
      <c r="F60" s="321"/>
      <c r="G60" s="278"/>
      <c r="H60" s="301"/>
      <c r="I60" s="282" t="s">
        <v>58</v>
      </c>
      <c r="J60" s="322" t="s">
        <v>136</v>
      </c>
      <c r="K60" s="324">
        <f t="shared" ref="K60:L63" si="6">IF(ISNUMBER(D72),D72,"")</f>
        <v>7.351</v>
      </c>
      <c r="L60" s="324">
        <f t="shared" si="6"/>
        <v>15.200000000000001</v>
      </c>
      <c r="N60" s="282">
        <v>3</v>
      </c>
      <c r="O60" s="277" t="s">
        <v>323</v>
      </c>
      <c r="P60" s="303">
        <f>K60+K61+K62+K63</f>
        <v>331.10200000000009</v>
      </c>
      <c r="Q60" s="303">
        <f>L60+L61+L62+L63</f>
        <v>284.71900000000005</v>
      </c>
    </row>
    <row r="61" spans="1:17">
      <c r="A61" s="278"/>
      <c r="B61" s="306" t="s">
        <v>542</v>
      </c>
      <c r="C61" s="312" t="s">
        <v>543</v>
      </c>
      <c r="D61" s="126">
        <v>48698.314000000079</v>
      </c>
      <c r="E61" s="126">
        <v>50261.048999999992</v>
      </c>
      <c r="F61" s="321"/>
      <c r="G61" s="278"/>
      <c r="H61" s="301"/>
      <c r="I61" s="282" t="s">
        <v>59</v>
      </c>
      <c r="J61" s="322" t="s">
        <v>125</v>
      </c>
      <c r="K61" s="324">
        <f t="shared" si="6"/>
        <v>49.975999999999999</v>
      </c>
      <c r="L61" s="324">
        <f t="shared" si="6"/>
        <v>69.756</v>
      </c>
      <c r="N61" s="282">
        <v>4</v>
      </c>
      <c r="O61" s="277" t="s">
        <v>159</v>
      </c>
      <c r="P61" s="303">
        <f>K50+K51+K52+K53</f>
        <v>68423.507000000071</v>
      </c>
      <c r="Q61" s="303">
        <f>L50+L51+L52+L53</f>
        <v>71798.448999999993</v>
      </c>
    </row>
    <row r="62" spans="1:17" ht="25.5">
      <c r="A62" s="278"/>
      <c r="B62" s="306" t="s">
        <v>544</v>
      </c>
      <c r="C62" s="312" t="s">
        <v>52</v>
      </c>
      <c r="D62" s="126">
        <v>342.68</v>
      </c>
      <c r="E62" s="126">
        <v>429</v>
      </c>
      <c r="F62" s="321"/>
      <c r="G62" s="278"/>
      <c r="H62" s="301"/>
      <c r="I62" s="282" t="s">
        <v>60</v>
      </c>
      <c r="J62" s="293" t="s">
        <v>163</v>
      </c>
      <c r="K62" s="324">
        <f t="shared" si="6"/>
        <v>263.28500000000008</v>
      </c>
      <c r="L62" s="324">
        <f t="shared" si="6"/>
        <v>199.71300000000002</v>
      </c>
      <c r="N62" s="282">
        <v>5</v>
      </c>
      <c r="O62" s="293" t="s">
        <v>399</v>
      </c>
      <c r="P62" s="303">
        <f>K64</f>
        <v>11413.415999999988</v>
      </c>
      <c r="Q62" s="303">
        <f>L64</f>
        <v>12323.835999999999</v>
      </c>
    </row>
    <row r="63" spans="1:17">
      <c r="A63" s="279"/>
      <c r="B63" s="306" t="s">
        <v>545</v>
      </c>
      <c r="C63" s="312" t="s">
        <v>546</v>
      </c>
      <c r="D63" s="126">
        <v>15415.996000000006</v>
      </c>
      <c r="E63" s="126">
        <v>18042.424999999996</v>
      </c>
      <c r="F63" s="321"/>
      <c r="G63" s="279"/>
      <c r="H63" s="302"/>
      <c r="I63" s="282" t="s">
        <v>61</v>
      </c>
      <c r="J63" s="322" t="s">
        <v>126</v>
      </c>
      <c r="K63" s="324">
        <f t="shared" si="6"/>
        <v>10.49</v>
      </c>
      <c r="L63" s="324">
        <f t="shared" si="6"/>
        <v>0.05</v>
      </c>
      <c r="N63" s="282">
        <v>6</v>
      </c>
      <c r="O63" s="293" t="s">
        <v>537</v>
      </c>
      <c r="P63" s="303">
        <f>K65+K66+K69</f>
        <v>149068.15799999991</v>
      </c>
      <c r="Q63" s="303">
        <f>L65+L66+L69</f>
        <v>177376.85500000001</v>
      </c>
    </row>
    <row r="64" spans="1:17">
      <c r="A64" s="274" t="s">
        <v>547</v>
      </c>
      <c r="B64" s="306" t="s">
        <v>548</v>
      </c>
      <c r="C64" s="276" t="s">
        <v>549</v>
      </c>
      <c r="D64" s="760">
        <v>2454.3449999999998</v>
      </c>
      <c r="E64" s="760">
        <v>2775.6800000000003</v>
      </c>
      <c r="F64" s="321"/>
      <c r="G64" s="274" t="s">
        <v>62</v>
      </c>
      <c r="H64" s="297" t="s">
        <v>164</v>
      </c>
      <c r="I64" s="282" t="s">
        <v>63</v>
      </c>
      <c r="J64" s="322" t="s">
        <v>165</v>
      </c>
      <c r="K64" s="324">
        <f>IF(OR(ISNUMBER(D76),ISNUMBER(D77),ISNUMBER(D78),ISNUMBER(D93)),D76+D77+D78+D93,"")</f>
        <v>11413.415999999988</v>
      </c>
      <c r="L64" s="324">
        <f>IF(OR(ISNUMBER(E76),ISNUMBER(E77),ISNUMBER(E78),ISNUMBER(E93)),E76+E77+E78+E93,"")</f>
        <v>12323.835999999999</v>
      </c>
      <c r="N64" s="282">
        <v>7</v>
      </c>
      <c r="O64" s="277" t="s">
        <v>133</v>
      </c>
      <c r="P64" s="303">
        <f>K78</f>
        <v>0</v>
      </c>
      <c r="Q64" s="303">
        <f>L78</f>
        <v>0</v>
      </c>
    </row>
    <row r="65" spans="1:13" ht="38.25">
      <c r="A65" s="279"/>
      <c r="B65" s="306" t="s">
        <v>550</v>
      </c>
      <c r="C65" s="276" t="s">
        <v>551</v>
      </c>
      <c r="D65" s="760">
        <v>18632.846000000009</v>
      </c>
      <c r="E65" s="760">
        <v>36860.666000000005</v>
      </c>
      <c r="F65" s="321"/>
      <c r="G65" s="278"/>
      <c r="H65" s="298"/>
      <c r="I65" s="282" t="s">
        <v>64</v>
      </c>
      <c r="J65" s="322" t="s">
        <v>127</v>
      </c>
      <c r="K65" s="324">
        <f>IF(OR(ISNUMBER(D79),ISNUMBER(D80),ISNUMBER(D81),ISNUMBER(D102),ISNUMBER(D103)),D79+D80+D81+D102+D103,"")</f>
        <v>146413.60599999991</v>
      </c>
      <c r="L65" s="324">
        <f>IF(OR(ISNUMBER(E79),ISNUMBER(E80),ISNUMBER(E81),ISNUMBER(E102),ISNUMBER(E103)),E79+E80+E81+E102+E103,"")</f>
        <v>174525.77499999999</v>
      </c>
    </row>
    <row r="66" spans="1:13">
      <c r="A66" s="274" t="s">
        <v>53</v>
      </c>
      <c r="B66" s="306" t="s">
        <v>552</v>
      </c>
      <c r="C66" s="312" t="s">
        <v>55</v>
      </c>
      <c r="D66" s="126">
        <v>10.122999999999999</v>
      </c>
      <c r="E66" s="126">
        <v>5.7650000000000006</v>
      </c>
      <c r="F66" s="321"/>
      <c r="G66" s="278"/>
      <c r="H66" s="298"/>
      <c r="I66" s="282" t="s">
        <v>65</v>
      </c>
      <c r="J66" s="322" t="s">
        <v>166</v>
      </c>
      <c r="K66" s="324">
        <f>IF(ISNUMBER(D83),D83,"")</f>
        <v>120</v>
      </c>
      <c r="L66" s="324">
        <f>IF(ISNUMBER(E83),E83,"")</f>
        <v>82.1</v>
      </c>
    </row>
    <row r="67" spans="1:13" ht="25.5">
      <c r="A67" s="278"/>
      <c r="B67" s="306" t="s">
        <v>553</v>
      </c>
      <c r="C67" s="312" t="s">
        <v>554</v>
      </c>
      <c r="D67" s="126">
        <v>8.3360000000000003</v>
      </c>
      <c r="E67" s="126">
        <v>44.064999999999998</v>
      </c>
      <c r="F67" s="321"/>
      <c r="G67" s="278"/>
      <c r="H67" s="298"/>
      <c r="I67" s="282" t="s">
        <v>66</v>
      </c>
      <c r="J67" s="322" t="s">
        <v>173</v>
      </c>
      <c r="K67" s="324">
        <f>IF(ISNUMBER(D84),D84,"")</f>
        <v>141.94800000000001</v>
      </c>
      <c r="L67" s="324">
        <f>IF(ISNUMBER(E84),E84,"")</f>
        <v>243.53</v>
      </c>
    </row>
    <row r="68" spans="1:13">
      <c r="A68" s="278"/>
      <c r="B68" s="306" t="s">
        <v>555</v>
      </c>
      <c r="C68" s="312" t="s">
        <v>556</v>
      </c>
      <c r="D68" s="126">
        <v>53.02</v>
      </c>
      <c r="E68" s="126">
        <v>186.73500000000001</v>
      </c>
      <c r="F68" s="321"/>
      <c r="G68" s="278"/>
      <c r="H68" s="298"/>
      <c r="I68" s="282" t="s">
        <v>67</v>
      </c>
      <c r="J68" s="322" t="s">
        <v>174</v>
      </c>
      <c r="K68" s="324">
        <f>IF(OR(ISNUMBER(D85),ISNUMBER(D86),ISNUMBER(D87),ISNUMBER(D94)),D85+D86+D87+D94,"")</f>
        <v>10143.978000000001</v>
      </c>
      <c r="L68" s="324">
        <f>IF(OR(ISNUMBER(E85),ISNUMBER(E86),ISNUMBER(E87),ISNUMBER(E94)),E85+E86+E87+E94,"")</f>
        <v>11189.162</v>
      </c>
    </row>
    <row r="69" spans="1:13">
      <c r="A69" s="278"/>
      <c r="B69" s="306" t="s">
        <v>557</v>
      </c>
      <c r="C69" s="312" t="s">
        <v>558</v>
      </c>
      <c r="D69" s="126">
        <v>78.090999999999994</v>
      </c>
      <c r="E69" s="126">
        <v>88.504999999999995</v>
      </c>
      <c r="F69" s="321"/>
      <c r="G69" s="278"/>
      <c r="H69" s="298"/>
      <c r="I69" s="282" t="s">
        <v>68</v>
      </c>
      <c r="J69" s="322" t="s">
        <v>175</v>
      </c>
      <c r="K69" s="324">
        <f>IF(ISNUMBER(D88),D88,"")</f>
        <v>2534.5520000000001</v>
      </c>
      <c r="L69" s="324">
        <f>IF(ISNUMBER(E88),E88,"")</f>
        <v>2768.98</v>
      </c>
    </row>
    <row r="70" spans="1:13">
      <c r="A70" s="278"/>
      <c r="B70" s="306" t="s">
        <v>559</v>
      </c>
      <c r="C70" s="312" t="s">
        <v>56</v>
      </c>
      <c r="D70" s="126">
        <v>8</v>
      </c>
      <c r="E70" s="126">
        <v>0.03</v>
      </c>
      <c r="F70" s="321"/>
      <c r="G70" s="278"/>
      <c r="H70" s="298"/>
      <c r="I70" s="282" t="s">
        <v>128</v>
      </c>
      <c r="J70" s="322" t="s">
        <v>167</v>
      </c>
      <c r="K70" s="325">
        <f t="shared" ref="K70:L72" si="7">IF(ISNUMBER(D90),D90,"")</f>
        <v>0</v>
      </c>
      <c r="L70" s="325">
        <f t="shared" si="7"/>
        <v>0</v>
      </c>
    </row>
    <row r="71" spans="1:13">
      <c r="A71" s="278"/>
      <c r="B71" s="306" t="s">
        <v>560</v>
      </c>
      <c r="C71" s="312" t="s">
        <v>57</v>
      </c>
      <c r="D71" s="126">
        <v>8.3999999999999991E-2</v>
      </c>
      <c r="E71" s="126">
        <v>1.08</v>
      </c>
      <c r="F71" s="321"/>
      <c r="G71" s="278"/>
      <c r="H71" s="298"/>
      <c r="I71" s="282" t="s">
        <v>69</v>
      </c>
      <c r="J71" s="322" t="s">
        <v>129</v>
      </c>
      <c r="K71" s="324">
        <f t="shared" si="7"/>
        <v>28280.257000000056</v>
      </c>
      <c r="L71" s="324">
        <f t="shared" si="7"/>
        <v>29453.052999999985</v>
      </c>
    </row>
    <row r="72" spans="1:13">
      <c r="A72" s="278"/>
      <c r="B72" s="306" t="s">
        <v>561</v>
      </c>
      <c r="C72" s="312" t="s">
        <v>58</v>
      </c>
      <c r="D72" s="126">
        <v>7.351</v>
      </c>
      <c r="E72" s="126">
        <v>15.200000000000001</v>
      </c>
      <c r="F72" s="321"/>
      <c r="G72" s="278"/>
      <c r="H72" s="298"/>
      <c r="I72" s="282" t="s">
        <v>70</v>
      </c>
      <c r="J72" s="322" t="s">
        <v>168</v>
      </c>
      <c r="K72" s="324">
        <f t="shared" si="7"/>
        <v>51.879999999999995</v>
      </c>
      <c r="L72" s="324">
        <f t="shared" si="7"/>
        <v>84.72</v>
      </c>
    </row>
    <row r="73" spans="1:13" ht="25.5">
      <c r="A73" s="278"/>
      <c r="B73" s="306" t="s">
        <v>562</v>
      </c>
      <c r="C73" s="312" t="s">
        <v>59</v>
      </c>
      <c r="D73" s="126">
        <v>49.975999999999999</v>
      </c>
      <c r="E73" s="126">
        <v>69.756</v>
      </c>
      <c r="F73" s="321"/>
      <c r="G73" s="274" t="s">
        <v>71</v>
      </c>
      <c r="H73" s="297" t="s">
        <v>169</v>
      </c>
      <c r="I73" s="282" t="s">
        <v>72</v>
      </c>
      <c r="J73" s="322" t="s">
        <v>170</v>
      </c>
      <c r="K73" s="324">
        <f>IF(OR(ISNUMBER(D95),ISNUMBER(D96),ISNUMBER(D98)),D95+D96+D98,"")</f>
        <v>5313.0449999999973</v>
      </c>
      <c r="L73" s="324">
        <f>IF(OR(ISNUMBER(E95),ISNUMBER(E96),ISNUMBER(E98)),E95+E96+E98,"")</f>
        <v>5398.2180000000008</v>
      </c>
    </row>
    <row r="74" spans="1:13">
      <c r="A74" s="278"/>
      <c r="B74" s="306" t="s">
        <v>563</v>
      </c>
      <c r="C74" s="312" t="s">
        <v>60</v>
      </c>
      <c r="D74" s="126">
        <v>263.28500000000008</v>
      </c>
      <c r="E74" s="126">
        <v>199.71300000000002</v>
      </c>
      <c r="F74" s="321"/>
      <c r="G74" s="278"/>
      <c r="H74" s="298"/>
      <c r="I74" s="282" t="s">
        <v>73</v>
      </c>
      <c r="J74" s="322" t="s">
        <v>130</v>
      </c>
      <c r="K74" s="324">
        <f>IF(ISNUMBER(D97),D97,"")</f>
        <v>472.36099999999982</v>
      </c>
      <c r="L74" s="324">
        <f>IF(ISNUMBER(E97),E97,"")</f>
        <v>247.98399999999998</v>
      </c>
    </row>
    <row r="75" spans="1:13">
      <c r="A75" s="279"/>
      <c r="B75" s="306" t="s">
        <v>564</v>
      </c>
      <c r="C75" s="312" t="s">
        <v>61</v>
      </c>
      <c r="D75" s="126">
        <v>10.49</v>
      </c>
      <c r="E75" s="126">
        <v>0.05</v>
      </c>
      <c r="F75" s="321"/>
      <c r="G75" s="279"/>
      <c r="H75" s="299"/>
      <c r="I75" s="282" t="s">
        <v>74</v>
      </c>
      <c r="J75" s="322" t="s">
        <v>131</v>
      </c>
      <c r="K75" s="324">
        <f>IF(ISNUMBER(D99),D99,"")</f>
        <v>404.83299999999997</v>
      </c>
      <c r="L75" s="324">
        <f>IF(ISNUMBER(E99),E99,"")</f>
        <v>305.98</v>
      </c>
    </row>
    <row r="76" spans="1:13" ht="38.25">
      <c r="A76" s="274" t="s">
        <v>62</v>
      </c>
      <c r="B76" s="309" t="s">
        <v>565</v>
      </c>
      <c r="C76" s="310" t="s">
        <v>63</v>
      </c>
      <c r="D76" s="126">
        <v>4073.0339999999942</v>
      </c>
      <c r="E76" s="126">
        <v>3111.5580000000004</v>
      </c>
      <c r="F76" s="321"/>
      <c r="G76" s="274" t="s">
        <v>75</v>
      </c>
      <c r="H76" s="297" t="s">
        <v>76</v>
      </c>
      <c r="I76" s="282" t="s">
        <v>77</v>
      </c>
      <c r="J76" s="293" t="s">
        <v>171</v>
      </c>
      <c r="K76" s="324">
        <f>IF(OR(ISNUMBER(D100),(D104)),D100+D104,"")</f>
        <v>657.35499999999934</v>
      </c>
      <c r="L76" s="324">
        <f>IF(OR(ISNUMBER(E100),(E104)),E100+E104,"")</f>
        <v>550.38700000000006</v>
      </c>
    </row>
    <row r="77" spans="1:13" ht="38.25">
      <c r="A77" s="278"/>
      <c r="B77" s="309" t="s">
        <v>566</v>
      </c>
      <c r="C77" s="310" t="s">
        <v>567</v>
      </c>
      <c r="D77" s="126">
        <v>1144.6519999999964</v>
      </c>
      <c r="E77" s="126">
        <v>3297.197999999998</v>
      </c>
      <c r="F77" s="321"/>
      <c r="G77" s="278"/>
      <c r="H77" s="298"/>
      <c r="I77" s="282" t="s">
        <v>78</v>
      </c>
      <c r="J77" s="322" t="s">
        <v>132</v>
      </c>
      <c r="K77" s="324">
        <f>IF(OR(ISNUMBER(D28),(D101)),D28+D101,"")</f>
        <v>263.78399999999999</v>
      </c>
      <c r="L77" s="324">
        <f>IF(OR(ISNUMBER(E28),(E101)),E28+E101,"")</f>
        <v>212.29899999999998</v>
      </c>
    </row>
    <row r="78" spans="1:13" ht="25.5">
      <c r="A78" s="278"/>
      <c r="B78" s="309" t="s">
        <v>568</v>
      </c>
      <c r="C78" s="310" t="s">
        <v>569</v>
      </c>
      <c r="D78" s="126">
        <v>2967.9759999999974</v>
      </c>
      <c r="E78" s="126">
        <v>2565.4870000000001</v>
      </c>
      <c r="F78" s="321"/>
      <c r="G78" s="278"/>
      <c r="H78" s="298"/>
      <c r="I78" s="282" t="s">
        <v>134</v>
      </c>
      <c r="J78" s="322" t="s">
        <v>133</v>
      </c>
      <c r="K78" s="325"/>
      <c r="L78" s="325"/>
    </row>
    <row r="79" spans="1:13" ht="25.5">
      <c r="A79" s="278"/>
      <c r="B79" s="306" t="s">
        <v>570</v>
      </c>
      <c r="C79" s="312" t="s">
        <v>571</v>
      </c>
      <c r="D79" s="126">
        <v>1403.0099999999998</v>
      </c>
      <c r="E79" s="126">
        <v>1174.47</v>
      </c>
      <c r="F79" s="321"/>
      <c r="G79" s="279"/>
      <c r="H79" s="299"/>
      <c r="I79" s="282" t="s">
        <v>172</v>
      </c>
      <c r="J79" s="322" t="s">
        <v>135</v>
      </c>
      <c r="K79" s="324">
        <f>IF(OR(ISNUMBER(D37),(D38)),D37+D38,"")</f>
        <v>0.73199999999999998</v>
      </c>
      <c r="L79" s="324">
        <f>IF(OR(ISNUMBER(E37),(E38)),E37+E38,"")</f>
        <v>5.2399999999999993</v>
      </c>
    </row>
    <row r="80" spans="1:13" ht="25.5">
      <c r="A80" s="278"/>
      <c r="B80" s="306" t="s">
        <v>572</v>
      </c>
      <c r="C80" s="316" t="s">
        <v>64</v>
      </c>
      <c r="D80" s="126">
        <v>20499.975999999999</v>
      </c>
      <c r="E80" s="126">
        <v>4235.1290000000008</v>
      </c>
      <c r="F80" s="321"/>
      <c r="G80" s="267"/>
      <c r="H80" s="267"/>
      <c r="I80" s="267"/>
      <c r="J80" s="267"/>
      <c r="K80" s="267"/>
      <c r="L80" s="267"/>
      <c r="M80" s="268"/>
    </row>
    <row r="81" spans="1:17" ht="25.5">
      <c r="A81" s="278"/>
      <c r="B81" s="306" t="s">
        <v>573</v>
      </c>
      <c r="C81" s="312" t="s">
        <v>574</v>
      </c>
      <c r="D81" s="126">
        <v>123737.39299999991</v>
      </c>
      <c r="E81" s="126">
        <v>166483.28699999998</v>
      </c>
      <c r="F81" s="321"/>
      <c r="G81" s="267"/>
      <c r="H81" s="267"/>
      <c r="I81" s="267"/>
      <c r="J81" s="267"/>
      <c r="K81" s="507"/>
      <c r="L81" s="507"/>
      <c r="M81" s="268"/>
      <c r="P81" s="507"/>
      <c r="Q81" s="507"/>
    </row>
    <row r="82" spans="1:17">
      <c r="A82" s="278"/>
      <c r="B82" s="306" t="s">
        <v>575</v>
      </c>
      <c r="C82" s="312" t="s">
        <v>576</v>
      </c>
      <c r="D82" s="126">
        <v>317.6049999999999</v>
      </c>
      <c r="E82" s="126">
        <v>536.71500000000003</v>
      </c>
      <c r="F82" s="321"/>
      <c r="M82" s="268"/>
    </row>
    <row r="83" spans="1:17">
      <c r="A83" s="278"/>
      <c r="B83" s="306" t="s">
        <v>577</v>
      </c>
      <c r="C83" s="312" t="s">
        <v>65</v>
      </c>
      <c r="D83" s="126">
        <v>120</v>
      </c>
      <c r="E83" s="126">
        <v>82.1</v>
      </c>
      <c r="F83" s="321"/>
      <c r="M83" s="268"/>
    </row>
    <row r="84" spans="1:17">
      <c r="A84" s="278"/>
      <c r="B84" s="306" t="s">
        <v>578</v>
      </c>
      <c r="C84" s="276" t="s">
        <v>66</v>
      </c>
      <c r="D84" s="126">
        <v>141.94800000000001</v>
      </c>
      <c r="E84" s="126">
        <v>243.53</v>
      </c>
      <c r="F84" s="321"/>
      <c r="M84" s="268"/>
    </row>
    <row r="85" spans="1:17">
      <c r="A85" s="278"/>
      <c r="B85" s="309" t="s">
        <v>579</v>
      </c>
      <c r="C85" s="310" t="s">
        <v>67</v>
      </c>
      <c r="D85" s="126">
        <v>126.824</v>
      </c>
      <c r="E85" s="126">
        <v>1084.18</v>
      </c>
      <c r="F85" s="321"/>
      <c r="M85" s="268"/>
    </row>
    <row r="86" spans="1:17">
      <c r="A86" s="278"/>
      <c r="B86" s="309" t="s">
        <v>580</v>
      </c>
      <c r="C86" s="310" t="s">
        <v>581</v>
      </c>
      <c r="D86" s="126">
        <v>9731.59</v>
      </c>
      <c r="E86" s="126">
        <v>9707.68</v>
      </c>
      <c r="F86" s="321"/>
      <c r="M86" s="268"/>
    </row>
    <row r="87" spans="1:17">
      <c r="A87" s="278"/>
      <c r="B87" s="309" t="s">
        <v>582</v>
      </c>
      <c r="C87" s="310" t="s">
        <v>583</v>
      </c>
      <c r="D87" s="126">
        <v>185.91499999999999</v>
      </c>
      <c r="E87" s="126">
        <v>130.66</v>
      </c>
      <c r="F87" s="321"/>
      <c r="M87" s="268"/>
    </row>
    <row r="88" spans="1:17">
      <c r="A88" s="278"/>
      <c r="B88" s="309" t="s">
        <v>584</v>
      </c>
      <c r="C88" s="276" t="s">
        <v>68</v>
      </c>
      <c r="D88" s="126">
        <v>2534.5520000000001</v>
      </c>
      <c r="E88" s="126">
        <v>2768.98</v>
      </c>
      <c r="F88" s="321"/>
      <c r="M88" s="268"/>
    </row>
    <row r="89" spans="1:17">
      <c r="A89" s="278"/>
      <c r="B89" s="306" t="s">
        <v>585</v>
      </c>
      <c r="C89" s="276" t="s">
        <v>586</v>
      </c>
      <c r="D89" s="126">
        <v>110.25299999999999</v>
      </c>
      <c r="E89" s="126">
        <v>79.3</v>
      </c>
      <c r="F89" s="321"/>
      <c r="M89" s="268"/>
    </row>
    <row r="90" spans="1:17" ht="25.5">
      <c r="A90" s="278"/>
      <c r="B90" s="306" t="s">
        <v>587</v>
      </c>
      <c r="C90" s="312" t="s">
        <v>588</v>
      </c>
      <c r="D90" s="126">
        <v>0</v>
      </c>
      <c r="E90" s="126">
        <v>0</v>
      </c>
      <c r="F90" s="321"/>
      <c r="M90" s="268"/>
    </row>
    <row r="91" spans="1:17">
      <c r="A91" s="278"/>
      <c r="B91" s="306" t="s">
        <v>589</v>
      </c>
      <c r="C91" s="276" t="s">
        <v>69</v>
      </c>
      <c r="D91" s="126">
        <v>28280.257000000056</v>
      </c>
      <c r="E91" s="126">
        <v>29453.052999999985</v>
      </c>
      <c r="F91" s="321"/>
      <c r="M91" s="268"/>
    </row>
    <row r="92" spans="1:17">
      <c r="A92" s="278"/>
      <c r="B92" s="307" t="s">
        <v>590</v>
      </c>
      <c r="C92" s="276" t="s">
        <v>70</v>
      </c>
      <c r="D92" s="126">
        <v>51.879999999999995</v>
      </c>
      <c r="E92" s="126">
        <v>84.72</v>
      </c>
      <c r="F92" s="321"/>
      <c r="M92" s="268"/>
    </row>
    <row r="93" spans="1:17" ht="25.5">
      <c r="A93" s="278"/>
      <c r="B93" s="317" t="s">
        <v>591</v>
      </c>
      <c r="C93" s="310" t="s">
        <v>592</v>
      </c>
      <c r="D93" s="126">
        <v>3227.7540000000004</v>
      </c>
      <c r="E93" s="126">
        <v>3349.5930000000003</v>
      </c>
      <c r="F93" s="321"/>
      <c r="M93" s="268"/>
    </row>
    <row r="94" spans="1:17" ht="25.5">
      <c r="A94" s="279"/>
      <c r="B94" s="318" t="s">
        <v>593</v>
      </c>
      <c r="C94" s="316" t="s">
        <v>594</v>
      </c>
      <c r="D94" s="126">
        <v>99.648999999999972</v>
      </c>
      <c r="E94" s="126">
        <v>266.642</v>
      </c>
      <c r="F94" s="321"/>
      <c r="M94" s="268"/>
    </row>
    <row r="95" spans="1:17">
      <c r="A95" s="274" t="s">
        <v>71</v>
      </c>
      <c r="B95" s="306" t="s">
        <v>595</v>
      </c>
      <c r="C95" s="312" t="s">
        <v>72</v>
      </c>
      <c r="D95" s="126">
        <v>4892.280999999999</v>
      </c>
      <c r="E95" s="126">
        <v>5102.7640000000001</v>
      </c>
      <c r="F95" s="321"/>
      <c r="M95" s="268"/>
    </row>
    <row r="96" spans="1:17">
      <c r="A96" s="278"/>
      <c r="B96" s="306" t="s">
        <v>596</v>
      </c>
      <c r="C96" s="312" t="s">
        <v>597</v>
      </c>
      <c r="D96" s="126">
        <v>42.632999999999988</v>
      </c>
      <c r="E96" s="126">
        <v>19.067999999999998</v>
      </c>
      <c r="F96" s="321"/>
      <c r="M96" s="268"/>
    </row>
    <row r="97" spans="1:17">
      <c r="A97" s="278"/>
      <c r="B97" s="306" t="s">
        <v>598</v>
      </c>
      <c r="C97" s="312" t="s">
        <v>73</v>
      </c>
      <c r="D97" s="126">
        <v>472.36099999999982</v>
      </c>
      <c r="E97" s="126">
        <v>247.98399999999998</v>
      </c>
      <c r="F97" s="321"/>
      <c r="M97" s="268"/>
    </row>
    <row r="98" spans="1:17">
      <c r="A98" s="278"/>
      <c r="B98" s="306" t="s">
        <v>599</v>
      </c>
      <c r="C98" s="312" t="s">
        <v>600</v>
      </c>
      <c r="D98" s="126">
        <v>378.13099999999838</v>
      </c>
      <c r="E98" s="126">
        <v>276.38600000000014</v>
      </c>
      <c r="F98" s="321"/>
      <c r="M98" s="268"/>
    </row>
    <row r="99" spans="1:17">
      <c r="A99" s="279"/>
      <c r="B99" s="306" t="s">
        <v>601</v>
      </c>
      <c r="C99" s="312" t="s">
        <v>74</v>
      </c>
      <c r="D99" s="126">
        <v>404.83299999999997</v>
      </c>
      <c r="E99" s="126">
        <v>305.98</v>
      </c>
      <c r="F99" s="321"/>
      <c r="M99" s="268"/>
    </row>
    <row r="100" spans="1:17">
      <c r="A100" s="274" t="s">
        <v>75</v>
      </c>
      <c r="B100" s="306" t="s">
        <v>602</v>
      </c>
      <c r="C100" s="276" t="s">
        <v>77</v>
      </c>
      <c r="D100" s="126">
        <v>657.10199999999929</v>
      </c>
      <c r="E100" s="126">
        <v>386.1</v>
      </c>
      <c r="F100" s="321"/>
      <c r="M100" s="268"/>
    </row>
    <row r="101" spans="1:17" ht="25.5">
      <c r="A101" s="278"/>
      <c r="B101" s="306" t="s">
        <v>603</v>
      </c>
      <c r="C101" s="312" t="s">
        <v>78</v>
      </c>
      <c r="D101" s="126">
        <v>49.131</v>
      </c>
      <c r="E101" s="126">
        <v>30.25899999999999</v>
      </c>
      <c r="F101" s="321"/>
      <c r="M101" s="268"/>
    </row>
    <row r="102" spans="1:17" ht="25.5">
      <c r="A102" s="278"/>
      <c r="B102" s="306" t="s">
        <v>604</v>
      </c>
      <c r="C102" s="312" t="s">
        <v>605</v>
      </c>
      <c r="D102" s="126">
        <v>635.08699999999988</v>
      </c>
      <c r="E102" s="126">
        <v>2518.7489999999998</v>
      </c>
      <c r="F102" s="321"/>
      <c r="M102" s="268"/>
    </row>
    <row r="103" spans="1:17">
      <c r="A103" s="278"/>
      <c r="B103" s="142" t="s">
        <v>606</v>
      </c>
      <c r="C103" s="310" t="s">
        <v>607</v>
      </c>
      <c r="D103" s="126">
        <v>138.13999999999999</v>
      </c>
      <c r="E103" s="126">
        <v>114.14</v>
      </c>
      <c r="F103" s="321"/>
      <c r="M103" s="268"/>
    </row>
    <row r="104" spans="1:17">
      <c r="A104" s="278"/>
      <c r="B104" s="319" t="s">
        <v>608</v>
      </c>
      <c r="C104" s="320" t="s">
        <v>609</v>
      </c>
      <c r="D104" s="126">
        <v>0.253</v>
      </c>
      <c r="E104" s="126">
        <v>164.28700000000001</v>
      </c>
      <c r="F104" s="321"/>
      <c r="M104" s="268"/>
    </row>
    <row r="105" spans="1:17">
      <c r="A105" s="267"/>
      <c r="B105" s="267"/>
      <c r="C105" s="267"/>
      <c r="D105" s="267"/>
      <c r="E105" s="321"/>
      <c r="F105" s="321"/>
      <c r="M105" s="268"/>
    </row>
    <row r="106" spans="1:17">
      <c r="A106" s="267"/>
      <c r="B106" s="267"/>
      <c r="C106" s="267"/>
      <c r="D106" s="267"/>
      <c r="E106" s="321"/>
      <c r="F106" s="321"/>
      <c r="M106" s="268"/>
    </row>
    <row r="107" spans="1:17">
      <c r="D107" s="508"/>
      <c r="E107" s="508"/>
      <c r="F107" s="321"/>
      <c r="K107" s="508"/>
      <c r="L107" s="508"/>
      <c r="M107" s="268"/>
      <c r="P107" s="508">
        <f t="shared" ref="P107:Q107" si="8">SUM(P8:P104)</f>
        <v>350786.6480000001</v>
      </c>
      <c r="Q107" s="508">
        <f t="shared" si="8"/>
        <v>376342.19799999997</v>
      </c>
    </row>
    <row r="108" spans="1:17">
      <c r="F108" s="321"/>
      <c r="M108" s="268"/>
    </row>
    <row r="109" spans="1:17">
      <c r="F109" s="321"/>
      <c r="M109" s="268"/>
    </row>
    <row r="110" spans="1:17">
      <c r="F110" s="321"/>
      <c r="M110" s="268"/>
    </row>
    <row r="111" spans="1:17">
      <c r="F111" s="321"/>
      <c r="M111" s="268"/>
    </row>
    <row r="112" spans="1:17">
      <c r="F112" s="321"/>
      <c r="M112" s="268"/>
    </row>
    <row r="113" spans="2:13">
      <c r="B113" s="296"/>
      <c r="D113" s="321"/>
      <c r="F113" s="321"/>
      <c r="M113" s="268"/>
    </row>
    <row r="114" spans="2:13">
      <c r="B114" s="296"/>
      <c r="E114" s="268"/>
      <c r="F114" s="321"/>
      <c r="M114" s="268"/>
    </row>
    <row r="115" spans="2:13">
      <c r="B115" s="296"/>
      <c r="D115" s="321"/>
      <c r="E115" s="268"/>
      <c r="F115" s="321"/>
      <c r="M115" s="268"/>
    </row>
    <row r="116" spans="2:13">
      <c r="F116" s="321"/>
      <c r="M116" s="268"/>
    </row>
    <row r="117" spans="2:13">
      <c r="F117" s="321"/>
      <c r="M117" s="268"/>
    </row>
    <row r="118" spans="2:13">
      <c r="F118" s="321"/>
      <c r="M118" s="268"/>
    </row>
    <row r="119" spans="2:13">
      <c r="F119" s="321"/>
      <c r="M119" s="268"/>
    </row>
    <row r="120" spans="2:13">
      <c r="F120" s="321"/>
      <c r="M120" s="268"/>
    </row>
    <row r="127" spans="2:13">
      <c r="M127" s="268"/>
    </row>
    <row r="128" spans="2:13">
      <c r="F128" s="268"/>
      <c r="M128" s="268"/>
    </row>
    <row r="129" spans="6:13">
      <c r="F129" s="268"/>
      <c r="M129" s="268"/>
    </row>
  </sheetData>
  <mergeCells count="6">
    <mergeCell ref="P6:Q6"/>
    <mergeCell ref="H8:H10"/>
    <mergeCell ref="D6:E6"/>
    <mergeCell ref="G6:J6"/>
    <mergeCell ref="K6:L6"/>
    <mergeCell ref="N6:O6"/>
  </mergeCells>
  <conditionalFormatting sqref="D8:E63 D66:E104">
    <cfRule type="expression" dxfId="53" priority="1">
      <formula>ISNUMBER(D8)</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tabColor rgb="FFFF0000"/>
  </sheetPr>
  <dimension ref="A1:R203"/>
  <sheetViews>
    <sheetView zoomScale="70" zoomScaleNormal="70" workbookViewId="0">
      <pane ySplit="7" topLeftCell="A8" activePane="bottomLeft" state="frozen"/>
      <selection pane="bottomLeft" activeCell="A8" sqref="A8"/>
    </sheetView>
  </sheetViews>
  <sheetFormatPr defaultRowHeight="12.75"/>
  <cols>
    <col min="1" max="1" width="10" style="573" customWidth="1"/>
    <col min="2" max="2" width="26.28515625" style="574" customWidth="1"/>
    <col min="3" max="3" width="11.85546875" style="572" customWidth="1"/>
    <col min="4" max="4" width="76.42578125" style="575" customWidth="1"/>
    <col min="5" max="6" width="14.28515625" style="575" customWidth="1"/>
    <col min="7" max="7" width="7" style="554" customWidth="1"/>
    <col min="8" max="8" width="7.7109375" style="571" customWidth="1"/>
    <col min="9" max="9" width="20.5703125" style="559" customWidth="1"/>
    <col min="10" max="10" width="9.140625" style="559"/>
    <col min="11" max="11" width="91.5703125" style="559" customWidth="1"/>
    <col min="12" max="13" width="14.28515625" style="572" customWidth="1"/>
    <col min="14" max="14" width="7" style="554" customWidth="1"/>
    <col min="15" max="15" width="9.7109375" style="559" bestFit="1" customWidth="1"/>
    <col min="16" max="16" width="68.85546875" style="559" customWidth="1"/>
    <col min="17" max="16384" width="9.140625" style="559"/>
  </cols>
  <sheetData>
    <row r="1" spans="1:18" s="83" customFormat="1" ht="21">
      <c r="A1" s="81" t="s">
        <v>811</v>
      </c>
      <c r="B1" s="82"/>
      <c r="G1" s="84"/>
      <c r="H1" s="85"/>
      <c r="I1" s="84"/>
      <c r="J1" s="86"/>
      <c r="N1" s="87"/>
      <c r="P1" s="87"/>
    </row>
    <row r="2" spans="1:18" s="539" customFormat="1" ht="15.75">
      <c r="A2" s="88" t="s">
        <v>722</v>
      </c>
      <c r="B2" s="538"/>
      <c r="E2" s="218" t="s">
        <v>400</v>
      </c>
      <c r="F2" s="179"/>
      <c r="G2" s="177" t="s">
        <v>444</v>
      </c>
      <c r="H2" s="540"/>
      <c r="J2" s="657"/>
      <c r="K2" s="759" t="s">
        <v>868</v>
      </c>
      <c r="L2" s="31"/>
      <c r="M2" s="90"/>
    </row>
    <row r="3" spans="1:18" s="539" customFormat="1" ht="18.75">
      <c r="B3" s="263"/>
      <c r="F3" s="198"/>
      <c r="G3" s="177" t="s">
        <v>723</v>
      </c>
      <c r="H3" s="540"/>
      <c r="J3" s="542"/>
      <c r="K3" s="541"/>
      <c r="L3" s="32"/>
      <c r="M3" s="90"/>
    </row>
    <row r="4" spans="1:18" s="539" customFormat="1" ht="15.75">
      <c r="B4" s="26"/>
      <c r="F4" s="196"/>
      <c r="G4" s="177" t="s">
        <v>724</v>
      </c>
      <c r="H4" s="540"/>
      <c r="J4" s="29"/>
      <c r="K4" s="541"/>
      <c r="L4" s="32"/>
      <c r="M4" s="90"/>
    </row>
    <row r="5" spans="1:18" s="539" customFormat="1" ht="15.75">
      <c r="B5" s="26"/>
      <c r="F5" s="217"/>
      <c r="G5" s="171" t="s">
        <v>725</v>
      </c>
      <c r="H5" s="540"/>
      <c r="J5" s="543"/>
      <c r="Q5" s="864" t="s">
        <v>726</v>
      </c>
      <c r="R5" s="864"/>
    </row>
    <row r="6" spans="1:18" s="88" customFormat="1" ht="18.75" customHeight="1">
      <c r="A6" s="93" t="s">
        <v>414</v>
      </c>
      <c r="B6" s="94"/>
      <c r="C6" s="95"/>
      <c r="D6" s="96"/>
      <c r="E6" s="865"/>
      <c r="F6" s="866"/>
      <c r="G6" s="544"/>
      <c r="H6" s="98" t="s">
        <v>402</v>
      </c>
      <c r="I6" s="99"/>
      <c r="J6" s="99"/>
      <c r="K6" s="100"/>
      <c r="L6" s="867" t="s">
        <v>401</v>
      </c>
      <c r="M6" s="821"/>
      <c r="N6" s="97"/>
      <c r="O6" s="101" t="s">
        <v>403</v>
      </c>
      <c r="P6" s="102"/>
      <c r="Q6" s="812" t="s">
        <v>401</v>
      </c>
      <c r="R6" s="813"/>
    </row>
    <row r="7" spans="1:18" s="551" customFormat="1" ht="25.5" customHeight="1">
      <c r="A7" s="545" t="s">
        <v>415</v>
      </c>
      <c r="B7" s="546" t="s">
        <v>416</v>
      </c>
      <c r="C7" s="547" t="s">
        <v>417</v>
      </c>
      <c r="D7" s="548" t="s">
        <v>418</v>
      </c>
      <c r="E7" s="549" t="s">
        <v>680</v>
      </c>
      <c r="F7" s="549" t="s">
        <v>681</v>
      </c>
      <c r="G7" s="103"/>
      <c r="H7" s="749" t="s">
        <v>859</v>
      </c>
      <c r="I7" s="43" t="s">
        <v>409</v>
      </c>
      <c r="J7" s="747" t="s">
        <v>860</v>
      </c>
      <c r="K7" s="43" t="s">
        <v>404</v>
      </c>
      <c r="L7" s="42" t="s">
        <v>680</v>
      </c>
      <c r="M7" s="550" t="s">
        <v>681</v>
      </c>
      <c r="N7" s="103"/>
      <c r="O7" s="44" t="s">
        <v>0</v>
      </c>
      <c r="P7" s="45" t="s">
        <v>406</v>
      </c>
      <c r="Q7" s="46" t="s">
        <v>680</v>
      </c>
      <c r="R7" s="46" t="s">
        <v>681</v>
      </c>
    </row>
    <row r="8" spans="1:18" ht="12.75" customHeight="1">
      <c r="A8" s="804" t="s">
        <v>3</v>
      </c>
      <c r="B8" s="807" t="s">
        <v>727</v>
      </c>
      <c r="C8" s="552" t="s">
        <v>4</v>
      </c>
      <c r="D8" s="553" t="s">
        <v>79</v>
      </c>
      <c r="E8" s="656">
        <v>288.22400000000005</v>
      </c>
      <c r="F8" s="126">
        <v>127.6964</v>
      </c>
      <c r="H8" s="555" t="s">
        <v>3</v>
      </c>
      <c r="I8" s="807" t="s">
        <v>137</v>
      </c>
      <c r="J8" s="556" t="s">
        <v>4</v>
      </c>
      <c r="K8" s="553" t="s">
        <v>79</v>
      </c>
      <c r="L8" s="557">
        <f>IF(ISNUMBER(E8),E8,"")</f>
        <v>288.22400000000005</v>
      </c>
      <c r="M8" s="557">
        <f>IF(ISNUMBER(F8),F8,"")</f>
        <v>127.6964</v>
      </c>
      <c r="N8" s="558"/>
      <c r="O8" s="119" t="s">
        <v>324</v>
      </c>
      <c r="P8" s="18" t="s">
        <v>325</v>
      </c>
      <c r="Q8" s="133">
        <f>L73</f>
        <v>1868.3677599999719</v>
      </c>
      <c r="R8" s="133">
        <f>M73</f>
        <v>1420.6273139999744</v>
      </c>
    </row>
    <row r="9" spans="1:18" ht="12.75" customHeight="1">
      <c r="A9" s="805"/>
      <c r="B9" s="808"/>
      <c r="C9" s="556" t="s">
        <v>138</v>
      </c>
      <c r="D9" s="553" t="s">
        <v>728</v>
      </c>
      <c r="E9" s="656">
        <v>0</v>
      </c>
      <c r="F9" s="126">
        <v>0</v>
      </c>
      <c r="H9" s="560"/>
      <c r="I9" s="808"/>
      <c r="J9" s="556" t="s">
        <v>138</v>
      </c>
      <c r="K9" s="553" t="s">
        <v>139</v>
      </c>
      <c r="L9" s="557">
        <f t="shared" ref="L9:M16" si="0">IF(ISNUMBER(E9),E9,"")</f>
        <v>0</v>
      </c>
      <c r="M9" s="557">
        <f t="shared" si="0"/>
        <v>0</v>
      </c>
      <c r="N9" s="558"/>
      <c r="O9" s="119" t="s">
        <v>326</v>
      </c>
      <c r="P9" s="18" t="s">
        <v>327</v>
      </c>
      <c r="Q9" s="133">
        <f>L75</f>
        <v>0</v>
      </c>
      <c r="R9" s="133">
        <f>M75</f>
        <v>0</v>
      </c>
    </row>
    <row r="10" spans="1:18" ht="12.75" customHeight="1">
      <c r="A10" s="806"/>
      <c r="B10" s="809"/>
      <c r="C10" s="556" t="s">
        <v>81</v>
      </c>
      <c r="D10" s="553" t="s">
        <v>422</v>
      </c>
      <c r="E10" s="656">
        <v>29.312000000000001</v>
      </c>
      <c r="F10" s="126">
        <v>22.882000000000001</v>
      </c>
      <c r="H10" s="561"/>
      <c r="I10" s="809"/>
      <c r="J10" s="556" t="s">
        <v>81</v>
      </c>
      <c r="K10" s="553" t="s">
        <v>80</v>
      </c>
      <c r="L10" s="557">
        <f t="shared" si="0"/>
        <v>29.312000000000001</v>
      </c>
      <c r="M10" s="557">
        <f t="shared" si="0"/>
        <v>22.882000000000001</v>
      </c>
      <c r="N10" s="558"/>
      <c r="O10" s="119" t="s">
        <v>328</v>
      </c>
      <c r="P10" s="18" t="s">
        <v>130</v>
      </c>
      <c r="Q10" s="133">
        <f>L74</f>
        <v>0</v>
      </c>
      <c r="R10" s="133">
        <f>M74</f>
        <v>0</v>
      </c>
    </row>
    <row r="11" spans="1:18">
      <c r="A11" s="562" t="s">
        <v>5</v>
      </c>
      <c r="B11" s="563" t="s">
        <v>6</v>
      </c>
      <c r="C11" s="556" t="s">
        <v>7</v>
      </c>
      <c r="D11" s="553" t="s">
        <v>82</v>
      </c>
      <c r="E11" s="656">
        <v>2014.0300999999995</v>
      </c>
      <c r="F11" s="126">
        <v>1880.1852999999981</v>
      </c>
      <c r="H11" s="562" t="s">
        <v>5</v>
      </c>
      <c r="I11" s="563" t="s">
        <v>6</v>
      </c>
      <c r="J11" s="556" t="s">
        <v>7</v>
      </c>
      <c r="K11" s="553" t="s">
        <v>82</v>
      </c>
      <c r="L11" s="557">
        <f t="shared" si="0"/>
        <v>2014.0300999999995</v>
      </c>
      <c r="M11" s="557">
        <f t="shared" si="0"/>
        <v>1880.1852999999981</v>
      </c>
      <c r="N11" s="558"/>
      <c r="O11" s="119" t="s">
        <v>329</v>
      </c>
      <c r="P11" s="18" t="s">
        <v>330</v>
      </c>
      <c r="Q11" s="133">
        <f>L44</f>
        <v>0</v>
      </c>
      <c r="R11" s="133">
        <f>M44</f>
        <v>0.42500000000000004</v>
      </c>
    </row>
    <row r="12" spans="1:18" ht="12.75" customHeight="1">
      <c r="A12" s="562" t="s">
        <v>8</v>
      </c>
      <c r="B12" s="563" t="s">
        <v>140</v>
      </c>
      <c r="C12" s="556" t="s">
        <v>9</v>
      </c>
      <c r="D12" s="553" t="s">
        <v>729</v>
      </c>
      <c r="E12" s="656">
        <v>42102.600259999897</v>
      </c>
      <c r="F12" s="126">
        <v>46230.26849999986</v>
      </c>
      <c r="H12" s="562" t="s">
        <v>8</v>
      </c>
      <c r="I12" s="563" t="s">
        <v>140</v>
      </c>
      <c r="J12" s="556" t="s">
        <v>9</v>
      </c>
      <c r="K12" s="553" t="s">
        <v>83</v>
      </c>
      <c r="L12" s="557">
        <f t="shared" si="0"/>
        <v>42102.600259999897</v>
      </c>
      <c r="M12" s="557">
        <f t="shared" si="0"/>
        <v>46230.26849999986</v>
      </c>
      <c r="N12" s="558"/>
      <c r="O12" s="119" t="s">
        <v>331</v>
      </c>
      <c r="P12" s="18" t="s">
        <v>332</v>
      </c>
      <c r="Q12" s="133">
        <f>L46</f>
        <v>14.77</v>
      </c>
      <c r="R12" s="133">
        <f>M46</f>
        <v>4.84</v>
      </c>
    </row>
    <row r="13" spans="1:18" ht="12.75" customHeight="1">
      <c r="A13" s="858" t="s">
        <v>10</v>
      </c>
      <c r="B13" s="855" t="s">
        <v>730</v>
      </c>
      <c r="C13" s="552" t="s">
        <v>12</v>
      </c>
      <c r="D13" s="553" t="s">
        <v>84</v>
      </c>
      <c r="E13" s="656">
        <v>0.76</v>
      </c>
      <c r="F13" s="126">
        <v>1.32</v>
      </c>
      <c r="H13" s="564" t="s">
        <v>10</v>
      </c>
      <c r="I13" s="855" t="s">
        <v>11</v>
      </c>
      <c r="J13" s="556" t="s">
        <v>12</v>
      </c>
      <c r="K13" s="553" t="s">
        <v>84</v>
      </c>
      <c r="L13" s="557">
        <f t="shared" si="0"/>
        <v>0.76</v>
      </c>
      <c r="M13" s="557">
        <f t="shared" si="0"/>
        <v>1.32</v>
      </c>
      <c r="N13" s="558"/>
      <c r="O13" s="119" t="s">
        <v>333</v>
      </c>
      <c r="P13" s="18" t="s">
        <v>334</v>
      </c>
      <c r="Q13" s="124"/>
      <c r="R13" s="124"/>
    </row>
    <row r="14" spans="1:18" ht="12.75" customHeight="1">
      <c r="A14" s="859"/>
      <c r="B14" s="856"/>
      <c r="C14" s="556" t="s">
        <v>13</v>
      </c>
      <c r="D14" s="553" t="s">
        <v>731</v>
      </c>
      <c r="E14" s="656">
        <v>0</v>
      </c>
      <c r="F14" s="126">
        <v>10</v>
      </c>
      <c r="H14" s="565"/>
      <c r="I14" s="856"/>
      <c r="J14" s="556" t="s">
        <v>13</v>
      </c>
      <c r="K14" s="553" t="s">
        <v>85</v>
      </c>
      <c r="L14" s="557">
        <f t="shared" si="0"/>
        <v>0</v>
      </c>
      <c r="M14" s="557">
        <f t="shared" si="0"/>
        <v>10</v>
      </c>
      <c r="N14" s="558"/>
      <c r="O14" s="119" t="s">
        <v>335</v>
      </c>
      <c r="P14" s="18" t="s">
        <v>336</v>
      </c>
      <c r="Q14" s="124"/>
      <c r="R14" s="124"/>
    </row>
    <row r="15" spans="1:18" ht="12.75" customHeight="1">
      <c r="A15" s="859"/>
      <c r="B15" s="856"/>
      <c r="C15" s="552" t="s">
        <v>14</v>
      </c>
      <c r="D15" s="553" t="s">
        <v>732</v>
      </c>
      <c r="E15" s="656">
        <v>8.2580000000000009</v>
      </c>
      <c r="F15" s="126">
        <v>34.319500000000012</v>
      </c>
      <c r="H15" s="565"/>
      <c r="I15" s="856"/>
      <c r="J15" s="556" t="s">
        <v>14</v>
      </c>
      <c r="K15" s="553" t="s">
        <v>86</v>
      </c>
      <c r="L15" s="557">
        <f t="shared" si="0"/>
        <v>8.2580000000000009</v>
      </c>
      <c r="M15" s="557">
        <f t="shared" si="0"/>
        <v>34.319500000000012</v>
      </c>
      <c r="N15" s="558"/>
      <c r="O15" s="119" t="s">
        <v>337</v>
      </c>
      <c r="P15" s="18" t="s">
        <v>322</v>
      </c>
      <c r="Q15" s="133">
        <f>L47</f>
        <v>57789.872160000567</v>
      </c>
      <c r="R15" s="133">
        <f>M47</f>
        <v>53305.720225000397</v>
      </c>
    </row>
    <row r="16" spans="1:18" ht="12.75" customHeight="1">
      <c r="A16" s="859"/>
      <c r="B16" s="856"/>
      <c r="C16" s="556" t="s">
        <v>15</v>
      </c>
      <c r="D16" s="553" t="s">
        <v>733</v>
      </c>
      <c r="E16" s="656">
        <v>0.04</v>
      </c>
      <c r="F16" s="126">
        <v>3.5000000000000001E-3</v>
      </c>
      <c r="H16" s="565"/>
      <c r="I16" s="856"/>
      <c r="J16" s="556" t="s">
        <v>15</v>
      </c>
      <c r="K16" s="553" t="s">
        <v>87</v>
      </c>
      <c r="L16" s="557">
        <f t="shared" si="0"/>
        <v>0.04</v>
      </c>
      <c r="M16" s="557">
        <f t="shared" si="0"/>
        <v>3.5000000000000001E-3</v>
      </c>
      <c r="N16" s="558"/>
      <c r="O16" s="119" t="s">
        <v>338</v>
      </c>
      <c r="P16" s="18" t="s">
        <v>339</v>
      </c>
      <c r="Q16" s="133">
        <f>L48</f>
        <v>28880.840400000434</v>
      </c>
      <c r="R16" s="133">
        <f>M48</f>
        <v>25207.14299999996</v>
      </c>
    </row>
    <row r="17" spans="1:18" ht="12.75" customHeight="1">
      <c r="A17" s="859"/>
      <c r="B17" s="856"/>
      <c r="C17" s="556" t="s">
        <v>16</v>
      </c>
      <c r="D17" s="553" t="s">
        <v>734</v>
      </c>
      <c r="E17" s="656">
        <v>19.326999999999998</v>
      </c>
      <c r="F17" s="126">
        <v>70.532000000000011</v>
      </c>
      <c r="H17" s="565"/>
      <c r="I17" s="856"/>
      <c r="J17" s="556" t="s">
        <v>16</v>
      </c>
      <c r="K17" s="553" t="s">
        <v>88</v>
      </c>
      <c r="L17" s="557">
        <f>IF(OR(ISNUMBER(E17),ISNUMBER(E18)),E17+E18,"")</f>
        <v>19.326999999999998</v>
      </c>
      <c r="M17" s="557">
        <f>IF(OR(ISNUMBER(F17),ISNUMBER(F18)),F17+F18,"")</f>
        <v>70.532000000000011</v>
      </c>
      <c r="N17" s="558"/>
      <c r="O17" s="119" t="s">
        <v>340</v>
      </c>
      <c r="P17" s="18" t="s">
        <v>341</v>
      </c>
      <c r="Q17" s="133">
        <f>L54</f>
        <v>1.6369999999999998</v>
      </c>
      <c r="R17" s="133">
        <f>M54</f>
        <v>5.5223000000000004</v>
      </c>
    </row>
    <row r="18" spans="1:18" ht="12.75" customHeight="1">
      <c r="A18" s="859"/>
      <c r="B18" s="856"/>
      <c r="C18" s="556" t="s">
        <v>484</v>
      </c>
      <c r="D18" s="553" t="s">
        <v>735</v>
      </c>
      <c r="E18" s="656">
        <v>0</v>
      </c>
      <c r="F18" s="126">
        <v>0</v>
      </c>
      <c r="H18" s="565"/>
      <c r="I18" s="856"/>
      <c r="J18" s="556" t="s">
        <v>17</v>
      </c>
      <c r="K18" s="553" t="s">
        <v>89</v>
      </c>
      <c r="L18" s="557">
        <f>IF(OR(ISNUMBER(E19),ISNUMBER(E20)),E19+E20,"")</f>
        <v>0.63</v>
      </c>
      <c r="M18" s="557">
        <f>IF(OR(ISNUMBER(F19),ISNUMBER(F20)),F19+F20,"")</f>
        <v>7.419999999999999</v>
      </c>
      <c r="N18" s="558"/>
      <c r="O18" s="119" t="s">
        <v>342</v>
      </c>
      <c r="P18" s="18" t="s">
        <v>343</v>
      </c>
      <c r="Q18" s="133">
        <f>L49</f>
        <v>1.5149999999999999</v>
      </c>
      <c r="R18" s="133">
        <f>M49</f>
        <v>10.535</v>
      </c>
    </row>
    <row r="19" spans="1:18" ht="12.75" customHeight="1">
      <c r="A19" s="859"/>
      <c r="B19" s="856"/>
      <c r="C19" s="556" t="s">
        <v>17</v>
      </c>
      <c r="D19" s="553" t="s">
        <v>736</v>
      </c>
      <c r="E19" s="656">
        <v>0.63</v>
      </c>
      <c r="F19" s="126">
        <v>7.419999999999999</v>
      </c>
      <c r="H19" s="565"/>
      <c r="I19" s="856"/>
      <c r="J19" s="556" t="s">
        <v>18</v>
      </c>
      <c r="K19" s="553" t="s">
        <v>90</v>
      </c>
      <c r="L19" s="557">
        <f>IF(ISNUMBER(E21),E21,"")</f>
        <v>0.156</v>
      </c>
      <c r="M19" s="557">
        <f>IF(ISNUMBER(F21),F21,"")</f>
        <v>0.14000000000000001</v>
      </c>
      <c r="N19" s="558"/>
      <c r="O19" s="119" t="s">
        <v>344</v>
      </c>
      <c r="P19" s="18" t="s">
        <v>345</v>
      </c>
      <c r="Q19" s="133">
        <f>L38</f>
        <v>541.49698000000012</v>
      </c>
      <c r="R19" s="133">
        <f>M38</f>
        <v>501.47590000000002</v>
      </c>
    </row>
    <row r="20" spans="1:18" ht="25.5" customHeight="1">
      <c r="A20" s="859"/>
      <c r="B20" s="856"/>
      <c r="C20" s="556" t="s">
        <v>737</v>
      </c>
      <c r="D20" s="553" t="s">
        <v>738</v>
      </c>
      <c r="E20" s="656">
        <v>0</v>
      </c>
      <c r="F20" s="126">
        <v>0</v>
      </c>
      <c r="H20" s="565"/>
      <c r="I20" s="856"/>
      <c r="J20" s="556" t="s">
        <v>19</v>
      </c>
      <c r="K20" s="553" t="s">
        <v>141</v>
      </c>
      <c r="L20" s="557">
        <f t="shared" ref="L20:M23" si="1">IF(ISNUMBER(E22),E22,"")</f>
        <v>0.91199999999999992</v>
      </c>
      <c r="M20" s="557">
        <f t="shared" si="1"/>
        <v>2.9681000000000002</v>
      </c>
      <c r="N20" s="558"/>
      <c r="O20" s="119" t="s">
        <v>346</v>
      </c>
      <c r="P20" s="18" t="s">
        <v>347</v>
      </c>
      <c r="Q20" s="133">
        <f>L39</f>
        <v>359.89397999999989</v>
      </c>
      <c r="R20" s="133">
        <f>M39</f>
        <v>483.08897500000023</v>
      </c>
    </row>
    <row r="21" spans="1:18" ht="12.75" customHeight="1">
      <c r="A21" s="859"/>
      <c r="B21" s="856"/>
      <c r="C21" s="556" t="s">
        <v>18</v>
      </c>
      <c r="D21" s="553" t="s">
        <v>739</v>
      </c>
      <c r="E21" s="656">
        <v>0.156</v>
      </c>
      <c r="F21" s="126">
        <v>0.14000000000000001</v>
      </c>
      <c r="H21" s="565"/>
      <c r="I21" s="856"/>
      <c r="J21" s="556" t="s">
        <v>142</v>
      </c>
      <c r="K21" s="553" t="s">
        <v>143</v>
      </c>
      <c r="L21" s="557">
        <f t="shared" si="1"/>
        <v>0.2</v>
      </c>
      <c r="M21" s="557">
        <f t="shared" si="1"/>
        <v>0</v>
      </c>
      <c r="N21" s="558"/>
      <c r="O21" s="119" t="s">
        <v>348</v>
      </c>
      <c r="P21" s="18" t="s">
        <v>349</v>
      </c>
      <c r="Q21" s="133">
        <f>L76</f>
        <v>243.97452500000006</v>
      </c>
      <c r="R21" s="133">
        <f>M76</f>
        <v>291.63421000000011</v>
      </c>
    </row>
    <row r="22" spans="1:18" ht="12.75" customHeight="1">
      <c r="A22" s="859"/>
      <c r="B22" s="856"/>
      <c r="C22" s="556" t="s">
        <v>19</v>
      </c>
      <c r="D22" s="553" t="s">
        <v>740</v>
      </c>
      <c r="E22" s="656">
        <v>0.91199999999999992</v>
      </c>
      <c r="F22" s="126">
        <v>2.9681000000000002</v>
      </c>
      <c r="H22" s="565"/>
      <c r="I22" s="856"/>
      <c r="J22" s="556" t="s">
        <v>20</v>
      </c>
      <c r="K22" s="553" t="s">
        <v>91</v>
      </c>
      <c r="L22" s="557">
        <f t="shared" si="1"/>
        <v>3</v>
      </c>
      <c r="M22" s="557">
        <f t="shared" si="1"/>
        <v>3.44</v>
      </c>
      <c r="N22" s="558"/>
      <c r="O22" s="119" t="s">
        <v>350</v>
      </c>
      <c r="P22" s="18" t="s">
        <v>351</v>
      </c>
      <c r="Q22" s="133">
        <f>L34+L35+L37+L79</f>
        <v>7.6780000000000026</v>
      </c>
      <c r="R22" s="133">
        <f>M34+M35+M37+M79</f>
        <v>10.210000000000001</v>
      </c>
    </row>
    <row r="23" spans="1:18" ht="12.75" customHeight="1">
      <c r="A23" s="859"/>
      <c r="B23" s="856"/>
      <c r="C23" s="552" t="s">
        <v>142</v>
      </c>
      <c r="D23" s="553" t="s">
        <v>741</v>
      </c>
      <c r="E23" s="656">
        <v>0.2</v>
      </c>
      <c r="F23" s="126">
        <v>0</v>
      </c>
      <c r="H23" s="565"/>
      <c r="I23" s="856"/>
      <c r="J23" s="556" t="s">
        <v>21</v>
      </c>
      <c r="K23" s="553" t="s">
        <v>144</v>
      </c>
      <c r="L23" s="557">
        <f t="shared" si="1"/>
        <v>1.6</v>
      </c>
      <c r="M23" s="557">
        <f t="shared" si="1"/>
        <v>1</v>
      </c>
      <c r="N23" s="558"/>
      <c r="O23" s="119" t="s">
        <v>352</v>
      </c>
      <c r="P23" s="18" t="s">
        <v>353</v>
      </c>
      <c r="Q23" s="133">
        <f>L77</f>
        <v>3.1224499999999997</v>
      </c>
      <c r="R23" s="133">
        <f>M77</f>
        <v>6.3480000000000016</v>
      </c>
    </row>
    <row r="24" spans="1:18" ht="12.75" customHeight="1">
      <c r="A24" s="859"/>
      <c r="B24" s="856"/>
      <c r="C24" s="556" t="s">
        <v>20</v>
      </c>
      <c r="D24" s="566" t="s">
        <v>91</v>
      </c>
      <c r="E24" s="656">
        <v>3</v>
      </c>
      <c r="F24" s="126">
        <v>3.44</v>
      </c>
      <c r="H24" s="565"/>
      <c r="I24" s="856"/>
      <c r="J24" s="556" t="s">
        <v>22</v>
      </c>
      <c r="K24" s="553" t="s">
        <v>92</v>
      </c>
      <c r="L24" s="557">
        <f>IF(OR(ISNUMBER(E26),ISNUMBER(E27)),E26+E27,"")</f>
        <v>3.5009999999999999</v>
      </c>
      <c r="M24" s="557">
        <f>IF(OR(ISNUMBER(F26),ISNUMBER(F27)),F26+F27,"")</f>
        <v>90.65100000000001</v>
      </c>
      <c r="N24" s="558"/>
      <c r="O24" s="119" t="s">
        <v>354</v>
      </c>
      <c r="P24" s="18" t="s">
        <v>355</v>
      </c>
      <c r="Q24" s="133">
        <f>L8</f>
        <v>288.22400000000005</v>
      </c>
      <c r="R24" s="133">
        <f>M8</f>
        <v>127.6964</v>
      </c>
    </row>
    <row r="25" spans="1:18" ht="12.75" customHeight="1">
      <c r="A25" s="859"/>
      <c r="B25" s="856"/>
      <c r="C25" s="556" t="s">
        <v>21</v>
      </c>
      <c r="D25" s="553" t="s">
        <v>144</v>
      </c>
      <c r="E25" s="656">
        <v>1.6</v>
      </c>
      <c r="F25" s="126">
        <v>1</v>
      </c>
      <c r="H25" s="565"/>
      <c r="I25" s="856"/>
      <c r="J25" s="556" t="s">
        <v>23</v>
      </c>
      <c r="K25" s="553" t="s">
        <v>93</v>
      </c>
      <c r="L25" s="557">
        <f>IF(OR(ISNUMBER(E28),ISNUMBER(E29)),E28+E29,"")</f>
        <v>145.06100000000004</v>
      </c>
      <c r="M25" s="557">
        <f>IF(OR(ISNUMBER(F28),ISNUMBER(F29)),F28+F29,"")</f>
        <v>304.19750000000005</v>
      </c>
      <c r="N25" s="558"/>
      <c r="O25" s="119" t="s">
        <v>356</v>
      </c>
      <c r="P25" s="18" t="s">
        <v>357</v>
      </c>
      <c r="Q25" s="133">
        <f>L67+L68+L70+L72</f>
        <v>11464.759540000003</v>
      </c>
      <c r="R25" s="133">
        <f>M67+M68+M70+M72</f>
        <v>12658.416774999981</v>
      </c>
    </row>
    <row r="26" spans="1:18" ht="15" customHeight="1">
      <c r="A26" s="859"/>
      <c r="B26" s="856"/>
      <c r="C26" s="552" t="s">
        <v>22</v>
      </c>
      <c r="D26" s="553" t="s">
        <v>92</v>
      </c>
      <c r="E26" s="656">
        <v>3.5009999999999999</v>
      </c>
      <c r="F26" s="126">
        <v>90.65100000000001</v>
      </c>
      <c r="H26" s="565"/>
      <c r="I26" s="856"/>
      <c r="J26" s="556" t="s">
        <v>24</v>
      </c>
      <c r="K26" s="553" t="s">
        <v>94</v>
      </c>
      <c r="L26" s="557">
        <f>IF(ISNUMBER(E30),E30,"")</f>
        <v>227.233</v>
      </c>
      <c r="M26" s="557">
        <f>IF(ISNUMBER(F30),F30,"")</f>
        <v>646.10129999999992</v>
      </c>
      <c r="O26" s="62"/>
      <c r="P26" s="63" t="s">
        <v>407</v>
      </c>
      <c r="Q26" s="117"/>
      <c r="R26" s="117"/>
    </row>
    <row r="27" spans="1:18" ht="12.75" customHeight="1">
      <c r="A27" s="859"/>
      <c r="B27" s="856"/>
      <c r="C27" s="552" t="s">
        <v>742</v>
      </c>
      <c r="D27" s="553" t="s">
        <v>743</v>
      </c>
      <c r="E27" s="656">
        <v>0</v>
      </c>
      <c r="F27" s="126">
        <v>0</v>
      </c>
      <c r="H27" s="565"/>
      <c r="I27" s="856"/>
      <c r="J27" s="556" t="s">
        <v>25</v>
      </c>
      <c r="K27" s="553" t="s">
        <v>145</v>
      </c>
      <c r="L27" s="557">
        <f t="shared" ref="L27:M37" si="2">IF(ISNUMBER(E31),E31,"")</f>
        <v>0</v>
      </c>
      <c r="M27" s="557">
        <f t="shared" si="2"/>
        <v>0</v>
      </c>
      <c r="N27" s="558"/>
      <c r="O27" s="119" t="s">
        <v>358</v>
      </c>
      <c r="P27" s="19" t="s">
        <v>84</v>
      </c>
      <c r="Q27" s="133">
        <f>L13</f>
        <v>0.76</v>
      </c>
      <c r="R27" s="133">
        <f>M13</f>
        <v>1.32</v>
      </c>
    </row>
    <row r="28" spans="1:18" ht="12.75" customHeight="1">
      <c r="A28" s="859"/>
      <c r="B28" s="856"/>
      <c r="C28" s="556" t="s">
        <v>23</v>
      </c>
      <c r="D28" s="553" t="s">
        <v>744</v>
      </c>
      <c r="E28" s="656">
        <v>145.06100000000004</v>
      </c>
      <c r="F28" s="126">
        <v>304.19750000000005</v>
      </c>
      <c r="H28" s="565"/>
      <c r="I28" s="856"/>
      <c r="J28" s="556" t="s">
        <v>146</v>
      </c>
      <c r="K28" s="553" t="s">
        <v>147</v>
      </c>
      <c r="L28" s="557">
        <f t="shared" si="2"/>
        <v>5.0000000000000001E-3</v>
      </c>
      <c r="M28" s="557">
        <f t="shared" si="2"/>
        <v>0</v>
      </c>
      <c r="N28" s="558"/>
      <c r="O28" s="119" t="s">
        <v>359</v>
      </c>
      <c r="P28" s="19" t="s">
        <v>90</v>
      </c>
      <c r="Q28" s="133">
        <f>L19</f>
        <v>0.156</v>
      </c>
      <c r="R28" s="133">
        <f>M19</f>
        <v>0.14000000000000001</v>
      </c>
    </row>
    <row r="29" spans="1:18" ht="12.75" customHeight="1">
      <c r="A29" s="859"/>
      <c r="B29" s="856"/>
      <c r="C29" s="556" t="s">
        <v>745</v>
      </c>
      <c r="D29" s="553" t="s">
        <v>746</v>
      </c>
      <c r="E29" s="656">
        <v>0</v>
      </c>
      <c r="F29" s="126">
        <v>0</v>
      </c>
      <c r="H29" s="565"/>
      <c r="I29" s="856"/>
      <c r="J29" s="556" t="s">
        <v>148</v>
      </c>
      <c r="K29" s="553" t="s">
        <v>149</v>
      </c>
      <c r="L29" s="557">
        <f t="shared" si="2"/>
        <v>0</v>
      </c>
      <c r="M29" s="557">
        <f t="shared" si="2"/>
        <v>0</v>
      </c>
      <c r="N29" s="558"/>
      <c r="O29" s="119" t="s">
        <v>360</v>
      </c>
      <c r="P29" s="19" t="s">
        <v>361</v>
      </c>
      <c r="Q29" s="133">
        <f>L17</f>
        <v>19.326999999999998</v>
      </c>
      <c r="R29" s="133">
        <f>M17</f>
        <v>70.532000000000011</v>
      </c>
    </row>
    <row r="30" spans="1:18" ht="12.75" customHeight="1">
      <c r="A30" s="859"/>
      <c r="B30" s="856"/>
      <c r="C30" s="552" t="s">
        <v>24</v>
      </c>
      <c r="D30" s="553" t="s">
        <v>94</v>
      </c>
      <c r="E30" s="656">
        <v>227.233</v>
      </c>
      <c r="F30" s="126">
        <v>646.10129999999992</v>
      </c>
      <c r="H30" s="565"/>
      <c r="I30" s="856"/>
      <c r="J30" s="556" t="s">
        <v>26</v>
      </c>
      <c r="K30" s="553" t="s">
        <v>150</v>
      </c>
      <c r="L30" s="557">
        <f t="shared" si="2"/>
        <v>0.42500000000000004</v>
      </c>
      <c r="M30" s="557">
        <f t="shared" si="2"/>
        <v>2E-3</v>
      </c>
      <c r="N30" s="558"/>
      <c r="O30" s="119" t="s">
        <v>362</v>
      </c>
      <c r="P30" s="19" t="s">
        <v>91</v>
      </c>
      <c r="Q30" s="133">
        <f>L22</f>
        <v>3</v>
      </c>
      <c r="R30" s="133">
        <f>M22</f>
        <v>3.44</v>
      </c>
    </row>
    <row r="31" spans="1:18" ht="12.75" customHeight="1">
      <c r="A31" s="859"/>
      <c r="B31" s="856"/>
      <c r="C31" s="552" t="s">
        <v>25</v>
      </c>
      <c r="D31" s="553" t="s">
        <v>747</v>
      </c>
      <c r="E31" s="656">
        <v>0</v>
      </c>
      <c r="F31" s="126">
        <v>0</v>
      </c>
      <c r="H31" s="565"/>
      <c r="I31" s="856"/>
      <c r="J31" s="556" t="s">
        <v>27</v>
      </c>
      <c r="K31" s="553" t="s">
        <v>95</v>
      </c>
      <c r="L31" s="557">
        <f t="shared" si="2"/>
        <v>5775.86</v>
      </c>
      <c r="M31" s="557">
        <f t="shared" si="2"/>
        <v>5273.4513000000006</v>
      </c>
      <c r="N31" s="558"/>
      <c r="O31" s="119" t="s">
        <v>363</v>
      </c>
      <c r="P31" s="19" t="s">
        <v>94</v>
      </c>
      <c r="Q31" s="133">
        <f>L26</f>
        <v>227.233</v>
      </c>
      <c r="R31" s="133">
        <f>M26</f>
        <v>646.10129999999992</v>
      </c>
    </row>
    <row r="32" spans="1:18" ht="12.75" customHeight="1">
      <c r="A32" s="859"/>
      <c r="B32" s="856"/>
      <c r="C32" s="552" t="s">
        <v>146</v>
      </c>
      <c r="D32" s="553" t="s">
        <v>748</v>
      </c>
      <c r="E32" s="656">
        <v>5.0000000000000001E-3</v>
      </c>
      <c r="F32" s="126">
        <v>0</v>
      </c>
      <c r="H32" s="565"/>
      <c r="I32" s="856"/>
      <c r="J32" s="556" t="s">
        <v>28</v>
      </c>
      <c r="K32" s="553" t="s">
        <v>96</v>
      </c>
      <c r="L32" s="557">
        <f t="shared" si="2"/>
        <v>0</v>
      </c>
      <c r="M32" s="557">
        <f t="shared" si="2"/>
        <v>0.121</v>
      </c>
      <c r="N32" s="558"/>
      <c r="O32" s="119" t="s">
        <v>364</v>
      </c>
      <c r="P32" s="19" t="s">
        <v>87</v>
      </c>
      <c r="Q32" s="133">
        <f>L16</f>
        <v>0.04</v>
      </c>
      <c r="R32" s="133">
        <f>M16</f>
        <v>3.5000000000000001E-3</v>
      </c>
    </row>
    <row r="33" spans="1:18" ht="12.75" customHeight="1">
      <c r="A33" s="859"/>
      <c r="B33" s="856"/>
      <c r="C33" s="552" t="s">
        <v>148</v>
      </c>
      <c r="D33" s="553" t="s">
        <v>149</v>
      </c>
      <c r="E33" s="656">
        <v>0</v>
      </c>
      <c r="F33" s="126">
        <v>0</v>
      </c>
      <c r="H33" s="565"/>
      <c r="I33" s="856"/>
      <c r="J33" s="556" t="s">
        <v>29</v>
      </c>
      <c r="K33" s="553" t="s">
        <v>97</v>
      </c>
      <c r="L33" s="557">
        <f t="shared" si="2"/>
        <v>18.059999999999999</v>
      </c>
      <c r="M33" s="557">
        <f t="shared" si="2"/>
        <v>1.65</v>
      </c>
      <c r="N33" s="558"/>
      <c r="O33" s="119" t="s">
        <v>365</v>
      </c>
      <c r="P33" s="19" t="s">
        <v>145</v>
      </c>
      <c r="Q33" s="133">
        <f>L27</f>
        <v>0</v>
      </c>
      <c r="R33" s="133">
        <f>M27</f>
        <v>0</v>
      </c>
    </row>
    <row r="34" spans="1:18" ht="12.75" customHeight="1">
      <c r="A34" s="859"/>
      <c r="B34" s="856"/>
      <c r="C34" s="556" t="s">
        <v>26</v>
      </c>
      <c r="D34" s="553" t="s">
        <v>749</v>
      </c>
      <c r="E34" s="656">
        <v>0.42500000000000004</v>
      </c>
      <c r="F34" s="126">
        <v>2E-3</v>
      </c>
      <c r="H34" s="565"/>
      <c r="I34" s="856"/>
      <c r="J34" s="556" t="s">
        <v>99</v>
      </c>
      <c r="K34" s="553" t="s">
        <v>98</v>
      </c>
      <c r="L34" s="557">
        <f t="shared" si="2"/>
        <v>4.5730000000000022</v>
      </c>
      <c r="M34" s="557">
        <f t="shared" si="2"/>
        <v>3.9750000000000014</v>
      </c>
      <c r="N34" s="558"/>
      <c r="O34" s="119" t="s">
        <v>366</v>
      </c>
      <c r="P34" s="19" t="s">
        <v>89</v>
      </c>
      <c r="Q34" s="133">
        <f>L18</f>
        <v>0.63</v>
      </c>
      <c r="R34" s="133">
        <f>M18</f>
        <v>7.419999999999999</v>
      </c>
    </row>
    <row r="35" spans="1:18" ht="12.75" customHeight="1">
      <c r="A35" s="859"/>
      <c r="B35" s="856"/>
      <c r="C35" s="552" t="s">
        <v>27</v>
      </c>
      <c r="D35" s="553" t="s">
        <v>423</v>
      </c>
      <c r="E35" s="656">
        <v>5775.86</v>
      </c>
      <c r="F35" s="126">
        <v>5273.4513000000006</v>
      </c>
      <c r="H35" s="565"/>
      <c r="I35" s="856"/>
      <c r="J35" s="556" t="s">
        <v>101</v>
      </c>
      <c r="K35" s="553" t="s">
        <v>100</v>
      </c>
      <c r="L35" s="557">
        <f t="shared" si="2"/>
        <v>1.0049999999999999</v>
      </c>
      <c r="M35" s="557">
        <f t="shared" si="2"/>
        <v>5.660000000000001</v>
      </c>
      <c r="N35" s="558"/>
      <c r="O35" s="119" t="s">
        <v>367</v>
      </c>
      <c r="P35" s="19" t="s">
        <v>141</v>
      </c>
      <c r="Q35" s="133">
        <f>L20</f>
        <v>0.91199999999999992</v>
      </c>
      <c r="R35" s="133">
        <f>M20</f>
        <v>2.9681000000000002</v>
      </c>
    </row>
    <row r="36" spans="1:18" ht="12.75" customHeight="1">
      <c r="A36" s="859"/>
      <c r="B36" s="856"/>
      <c r="C36" s="556" t="s">
        <v>28</v>
      </c>
      <c r="D36" s="553" t="s">
        <v>96</v>
      </c>
      <c r="E36" s="656">
        <v>0</v>
      </c>
      <c r="F36" s="126">
        <v>0.121</v>
      </c>
      <c r="H36" s="567"/>
      <c r="I36" s="857"/>
      <c r="J36" s="556" t="s">
        <v>30</v>
      </c>
      <c r="K36" s="553" t="s">
        <v>151</v>
      </c>
      <c r="L36" s="557">
        <f t="shared" si="2"/>
        <v>0.60499999999999998</v>
      </c>
      <c r="M36" s="557">
        <f t="shared" si="2"/>
        <v>1.4339999999999997</v>
      </c>
      <c r="N36" s="558"/>
      <c r="O36" s="119" t="s">
        <v>368</v>
      </c>
      <c r="P36" s="19" t="s">
        <v>147</v>
      </c>
      <c r="Q36" s="133">
        <f>L28</f>
        <v>5.0000000000000001E-3</v>
      </c>
      <c r="R36" s="133">
        <f>M28</f>
        <v>0</v>
      </c>
    </row>
    <row r="37" spans="1:18" ht="12.75" customHeight="1">
      <c r="A37" s="859"/>
      <c r="B37" s="856"/>
      <c r="C37" s="552" t="s">
        <v>29</v>
      </c>
      <c r="D37" s="553" t="s">
        <v>750</v>
      </c>
      <c r="E37" s="656">
        <v>18.059999999999999</v>
      </c>
      <c r="F37" s="126">
        <v>1.65</v>
      </c>
      <c r="H37" s="562" t="s">
        <v>31</v>
      </c>
      <c r="I37" s="563" t="s">
        <v>32</v>
      </c>
      <c r="J37" s="556" t="s">
        <v>33</v>
      </c>
      <c r="K37" s="553" t="s">
        <v>102</v>
      </c>
      <c r="L37" s="557">
        <f>IF(ISNUMBER(E41),E41,"")</f>
        <v>0</v>
      </c>
      <c r="M37" s="557">
        <f t="shared" si="2"/>
        <v>0</v>
      </c>
      <c r="N37" s="558"/>
      <c r="O37" s="119" t="s">
        <v>369</v>
      </c>
      <c r="P37" s="19" t="s">
        <v>86</v>
      </c>
      <c r="Q37" s="133">
        <f>L15</f>
        <v>8.2580000000000009</v>
      </c>
      <c r="R37" s="133">
        <f>M15</f>
        <v>34.319500000000012</v>
      </c>
    </row>
    <row r="38" spans="1:18" ht="12.75" customHeight="1">
      <c r="A38" s="859"/>
      <c r="B38" s="856"/>
      <c r="C38" s="552" t="s">
        <v>99</v>
      </c>
      <c r="D38" s="553" t="s">
        <v>98</v>
      </c>
      <c r="E38" s="656">
        <v>4.5730000000000022</v>
      </c>
      <c r="F38" s="126">
        <v>3.9750000000000014</v>
      </c>
      <c r="H38" s="564" t="s">
        <v>34</v>
      </c>
      <c r="I38" s="855" t="s">
        <v>152</v>
      </c>
      <c r="J38" s="556" t="s">
        <v>35</v>
      </c>
      <c r="K38" s="553" t="s">
        <v>103</v>
      </c>
      <c r="L38" s="557">
        <f>IF(OR(ISNUMBER(E44),ISNUMBER(E46)),E44+E46,"")</f>
        <v>541.49698000000012</v>
      </c>
      <c r="M38" s="557">
        <f>IF(OR(ISNUMBER(F44),ISNUMBER(F46)),F44+F46,"")</f>
        <v>501.47590000000002</v>
      </c>
      <c r="N38" s="558"/>
      <c r="O38" s="119" t="s">
        <v>370</v>
      </c>
      <c r="P38" s="19" t="s">
        <v>143</v>
      </c>
      <c r="Q38" s="133">
        <f>L21</f>
        <v>0.2</v>
      </c>
      <c r="R38" s="133">
        <f>M21</f>
        <v>0</v>
      </c>
    </row>
    <row r="39" spans="1:18" ht="12.75" customHeight="1">
      <c r="A39" s="859"/>
      <c r="B39" s="856"/>
      <c r="C39" s="556" t="s">
        <v>101</v>
      </c>
      <c r="D39" s="553" t="s">
        <v>100</v>
      </c>
      <c r="E39" s="656">
        <v>1.0049999999999999</v>
      </c>
      <c r="F39" s="126">
        <v>5.660000000000001</v>
      </c>
      <c r="H39" s="567"/>
      <c r="I39" s="857"/>
      <c r="J39" s="556" t="s">
        <v>105</v>
      </c>
      <c r="K39" s="553" t="s">
        <v>104</v>
      </c>
      <c r="L39" s="557">
        <f>IF(OR(ISNUMBER(E45),ISNUMBER(E47)),E45+E47,"")</f>
        <v>359.89397999999989</v>
      </c>
      <c r="M39" s="557">
        <f>IF(OR(ISNUMBER(F45),ISNUMBER(F47)),F45+F47,"")</f>
        <v>483.08897500000023</v>
      </c>
      <c r="N39" s="558"/>
      <c r="O39" s="119" t="s">
        <v>371</v>
      </c>
      <c r="P39" s="19" t="s">
        <v>93</v>
      </c>
      <c r="Q39" s="133">
        <f>L25</f>
        <v>145.06100000000004</v>
      </c>
      <c r="R39" s="133">
        <f>M25</f>
        <v>304.19750000000005</v>
      </c>
    </row>
    <row r="40" spans="1:18" ht="12.75" customHeight="1">
      <c r="A40" s="860"/>
      <c r="B40" s="857"/>
      <c r="C40" s="552" t="s">
        <v>30</v>
      </c>
      <c r="D40" s="553" t="s">
        <v>751</v>
      </c>
      <c r="E40" s="656">
        <v>0.60499999999999998</v>
      </c>
      <c r="F40" s="126">
        <v>1.4339999999999997</v>
      </c>
      <c r="H40" s="564" t="s">
        <v>37</v>
      </c>
      <c r="I40" s="855" t="s">
        <v>153</v>
      </c>
      <c r="J40" s="556" t="s">
        <v>38</v>
      </c>
      <c r="K40" s="553" t="s">
        <v>106</v>
      </c>
      <c r="L40" s="557">
        <f>IF(ISNUMBER(E48),E48,"")</f>
        <v>3.6190000000000002</v>
      </c>
      <c r="M40" s="557">
        <f>IF(ISNUMBER(F48),F48,"")</f>
        <v>12.922029999999996</v>
      </c>
      <c r="N40" s="558"/>
      <c r="O40" s="119" t="s">
        <v>372</v>
      </c>
      <c r="P40" s="19" t="s">
        <v>85</v>
      </c>
      <c r="Q40" s="133">
        <f>L14</f>
        <v>0</v>
      </c>
      <c r="R40" s="133">
        <f>M14</f>
        <v>10</v>
      </c>
    </row>
    <row r="41" spans="1:18" ht="12.75" customHeight="1">
      <c r="A41" s="858" t="s">
        <v>31</v>
      </c>
      <c r="B41" s="855" t="s">
        <v>752</v>
      </c>
      <c r="C41" s="552" t="s">
        <v>33</v>
      </c>
      <c r="D41" s="553" t="s">
        <v>753</v>
      </c>
      <c r="E41" s="656">
        <v>0</v>
      </c>
      <c r="F41" s="126">
        <v>0</v>
      </c>
      <c r="H41" s="565"/>
      <c r="I41" s="856"/>
      <c r="J41" s="556" t="s">
        <v>39</v>
      </c>
      <c r="K41" s="553" t="s">
        <v>107</v>
      </c>
      <c r="L41" s="557">
        <f>IF(OR(ISNUMBER(E49),ISNUMBER(E72)),E49+E72,"")</f>
        <v>2117.0175500000009</v>
      </c>
      <c r="M41" s="557">
        <f>IF(OR(ISNUMBER(F49),ISNUMBER(F72)),F49+F72,"")</f>
        <v>2532.245576999996</v>
      </c>
      <c r="N41" s="558"/>
      <c r="O41" s="119" t="s">
        <v>373</v>
      </c>
      <c r="P41" s="19" t="s">
        <v>374</v>
      </c>
      <c r="Q41" s="133">
        <f t="shared" ref="Q41:R43" si="3">L10</f>
        <v>29.312000000000001</v>
      </c>
      <c r="R41" s="133">
        <f t="shared" si="3"/>
        <v>22.882000000000001</v>
      </c>
    </row>
    <row r="42" spans="1:18" ht="12.75" customHeight="1">
      <c r="A42" s="859"/>
      <c r="B42" s="856"/>
      <c r="C42" s="556" t="s">
        <v>507</v>
      </c>
      <c r="D42" s="553" t="s">
        <v>754</v>
      </c>
      <c r="E42" s="656">
        <v>2.1</v>
      </c>
      <c r="F42" s="126">
        <v>0.57499999999999996</v>
      </c>
      <c r="H42" s="565"/>
      <c r="I42" s="856"/>
      <c r="J42" s="556" t="s">
        <v>40</v>
      </c>
      <c r="K42" s="553" t="s">
        <v>108</v>
      </c>
      <c r="L42" s="557">
        <f>IF(OR(ISNUMBER(E50),ISNUMBER(E51)),E50+E51,"")</f>
        <v>116.15299999999995</v>
      </c>
      <c r="M42" s="557">
        <f>IF(OR(ISNUMBER(F50),ISNUMBER(F51)),F50+F51,"")</f>
        <v>62.161999999999992</v>
      </c>
      <c r="N42" s="558"/>
      <c r="O42" s="119" t="s">
        <v>375</v>
      </c>
      <c r="P42" s="19" t="s">
        <v>82</v>
      </c>
      <c r="Q42" s="133">
        <f t="shared" si="3"/>
        <v>2014.0300999999995</v>
      </c>
      <c r="R42" s="133">
        <f t="shared" si="3"/>
        <v>1880.1852999999981</v>
      </c>
    </row>
    <row r="43" spans="1:18" ht="12.75" customHeight="1">
      <c r="A43" s="860"/>
      <c r="B43" s="857"/>
      <c r="C43" s="556" t="s">
        <v>509</v>
      </c>
      <c r="D43" s="553" t="s">
        <v>755</v>
      </c>
      <c r="E43" s="656">
        <v>0</v>
      </c>
      <c r="F43" s="126">
        <v>0</v>
      </c>
      <c r="H43" s="567"/>
      <c r="I43" s="857"/>
      <c r="J43" s="556" t="s">
        <v>41</v>
      </c>
      <c r="K43" s="553" t="s">
        <v>109</v>
      </c>
      <c r="L43" s="557">
        <f>IF(ISNUMBER(E52),E52,"")</f>
        <v>0</v>
      </c>
      <c r="M43" s="557">
        <f>IF(ISNUMBER(F52),F52,"")</f>
        <v>0</v>
      </c>
      <c r="N43" s="558"/>
      <c r="O43" s="119" t="s">
        <v>376</v>
      </c>
      <c r="P43" s="19" t="s">
        <v>83</v>
      </c>
      <c r="Q43" s="133">
        <f t="shared" si="3"/>
        <v>42102.600259999897</v>
      </c>
      <c r="R43" s="133">
        <f t="shared" si="3"/>
        <v>46230.26849999986</v>
      </c>
    </row>
    <row r="44" spans="1:18" ht="12.75" customHeight="1">
      <c r="A44" s="858" t="s">
        <v>34</v>
      </c>
      <c r="B44" s="855" t="s">
        <v>756</v>
      </c>
      <c r="C44" s="556" t="s">
        <v>35</v>
      </c>
      <c r="D44" s="553" t="s">
        <v>757</v>
      </c>
      <c r="E44" s="656">
        <v>235.12397999999999</v>
      </c>
      <c r="F44" s="126">
        <v>133.71890000000002</v>
      </c>
      <c r="H44" s="564" t="s">
        <v>42</v>
      </c>
      <c r="I44" s="855" t="s">
        <v>154</v>
      </c>
      <c r="J44" s="556" t="s">
        <v>43</v>
      </c>
      <c r="K44" s="553" t="s">
        <v>110</v>
      </c>
      <c r="L44" s="557">
        <f>IF(OR(ISNUMBER(E53),ISNUMBER(E55)),E53+E55,"")</f>
        <v>0</v>
      </c>
      <c r="M44" s="557">
        <f>IF(OR(ISNUMBER(F53),ISNUMBER(F55)),F53+F55,"")</f>
        <v>0.42500000000000004</v>
      </c>
      <c r="N44" s="558"/>
      <c r="O44" s="119" t="s">
        <v>377</v>
      </c>
      <c r="P44" s="19" t="s">
        <v>378</v>
      </c>
      <c r="Q44" s="133">
        <f>L71</f>
        <v>0</v>
      </c>
      <c r="R44" s="133">
        <f>M71</f>
        <v>8</v>
      </c>
    </row>
    <row r="45" spans="1:18" ht="12.75" customHeight="1">
      <c r="A45" s="859"/>
      <c r="B45" s="856"/>
      <c r="C45" s="556" t="s">
        <v>105</v>
      </c>
      <c r="D45" s="553" t="s">
        <v>758</v>
      </c>
      <c r="E45" s="656">
        <v>0</v>
      </c>
      <c r="F45" s="126">
        <v>0</v>
      </c>
      <c r="H45" s="565"/>
      <c r="I45" s="856"/>
      <c r="J45" s="556" t="s">
        <v>44</v>
      </c>
      <c r="K45" s="553" t="s">
        <v>111</v>
      </c>
      <c r="L45" s="557">
        <f>IF(ISNUMBER(E54),E54,"")</f>
        <v>237.43999999999997</v>
      </c>
      <c r="M45" s="557">
        <f>IF(ISNUMBER(F54),F54,"")</f>
        <v>313.04546999999997</v>
      </c>
      <c r="N45" s="558"/>
      <c r="O45" s="119" t="s">
        <v>379</v>
      </c>
      <c r="P45" s="19" t="s">
        <v>176</v>
      </c>
      <c r="Q45" s="133">
        <f>L45</f>
        <v>237.43999999999997</v>
      </c>
      <c r="R45" s="133">
        <f>M45</f>
        <v>313.04546999999997</v>
      </c>
    </row>
    <row r="46" spans="1:18" ht="12.75" customHeight="1">
      <c r="A46" s="859"/>
      <c r="B46" s="856"/>
      <c r="C46" s="556" t="s">
        <v>513</v>
      </c>
      <c r="D46" s="553" t="s">
        <v>759</v>
      </c>
      <c r="E46" s="656">
        <v>306.37300000000016</v>
      </c>
      <c r="F46" s="126">
        <v>367.75700000000001</v>
      </c>
      <c r="H46" s="567"/>
      <c r="I46" s="857"/>
      <c r="J46" s="556" t="s">
        <v>45</v>
      </c>
      <c r="K46" s="553" t="s">
        <v>155</v>
      </c>
      <c r="L46" s="557">
        <f>IF(ISNUMBER(E56),E56,"")</f>
        <v>14.77</v>
      </c>
      <c r="M46" s="557">
        <f>IF(ISNUMBER(F56),F56,"")</f>
        <v>4.84</v>
      </c>
      <c r="N46" s="558"/>
      <c r="O46" s="119" t="s">
        <v>380</v>
      </c>
      <c r="P46" s="19" t="s">
        <v>381</v>
      </c>
      <c r="Q46" s="133">
        <f>L59</f>
        <v>2</v>
      </c>
      <c r="R46" s="133">
        <f>M59</f>
        <v>0</v>
      </c>
    </row>
    <row r="47" spans="1:18" ht="12.75" customHeight="1">
      <c r="A47" s="860"/>
      <c r="B47" s="857"/>
      <c r="C47" s="556" t="s">
        <v>515</v>
      </c>
      <c r="D47" s="553" t="s">
        <v>760</v>
      </c>
      <c r="E47" s="656">
        <v>359.89397999999989</v>
      </c>
      <c r="F47" s="126">
        <v>483.08897500000023</v>
      </c>
      <c r="H47" s="564" t="s">
        <v>46</v>
      </c>
      <c r="I47" s="855" t="s">
        <v>156</v>
      </c>
      <c r="J47" s="556" t="s">
        <v>47</v>
      </c>
      <c r="K47" s="553" t="s">
        <v>112</v>
      </c>
      <c r="L47" s="557">
        <f>IF(OR(ISNUMBER(E57),ISNUMBER(E61),ISNUMBER(E62)),E57+E61+E62,"")</f>
        <v>57789.872160000567</v>
      </c>
      <c r="M47" s="557">
        <f>IF(OR(ISNUMBER(F57),ISNUMBER(F61),ISNUMBER(F62)),F57+F61+F62,"")</f>
        <v>53305.720225000397</v>
      </c>
      <c r="N47" s="558"/>
      <c r="O47" s="119" t="s">
        <v>382</v>
      </c>
      <c r="P47" s="19" t="s">
        <v>383</v>
      </c>
      <c r="Q47" s="133">
        <f>L55</f>
        <v>0</v>
      </c>
      <c r="R47" s="133">
        <f>M55</f>
        <v>2.39</v>
      </c>
    </row>
    <row r="48" spans="1:18" ht="12.75" customHeight="1">
      <c r="A48" s="858" t="s">
        <v>37</v>
      </c>
      <c r="B48" s="855" t="s">
        <v>761</v>
      </c>
      <c r="C48" s="556" t="s">
        <v>38</v>
      </c>
      <c r="D48" s="553" t="s">
        <v>762</v>
      </c>
      <c r="E48" s="656">
        <v>3.6190000000000002</v>
      </c>
      <c r="F48" s="126">
        <v>12.922029999999996</v>
      </c>
      <c r="H48" s="565"/>
      <c r="I48" s="856"/>
      <c r="J48" s="556" t="s">
        <v>48</v>
      </c>
      <c r="K48" s="553" t="s">
        <v>157</v>
      </c>
      <c r="L48" s="557">
        <f>IF(OR(ISNUMBER(E58),ISNUMBER(E59)),E58+E59,"")</f>
        <v>28880.840400000434</v>
      </c>
      <c r="M48" s="557">
        <f>IF(OR(ISNUMBER(F58),ISNUMBER(F59)),F58+F59,"")</f>
        <v>25207.14299999996</v>
      </c>
      <c r="N48" s="558"/>
      <c r="O48" s="119" t="s">
        <v>384</v>
      </c>
      <c r="P48" s="19" t="s">
        <v>106</v>
      </c>
      <c r="Q48" s="133">
        <f>L40</f>
        <v>3.6190000000000002</v>
      </c>
      <c r="R48" s="133">
        <f>M40</f>
        <v>12.922029999999996</v>
      </c>
    </row>
    <row r="49" spans="1:18" ht="12.75" customHeight="1">
      <c r="A49" s="859"/>
      <c r="B49" s="856"/>
      <c r="C49" s="556" t="s">
        <v>39</v>
      </c>
      <c r="D49" s="553" t="s">
        <v>763</v>
      </c>
      <c r="E49" s="656">
        <v>722.98354999999435</v>
      </c>
      <c r="F49" s="126">
        <v>843.86807699999088</v>
      </c>
      <c r="H49" s="567"/>
      <c r="I49" s="857"/>
      <c r="J49" s="556" t="s">
        <v>49</v>
      </c>
      <c r="K49" s="553" t="s">
        <v>158</v>
      </c>
      <c r="L49" s="557">
        <f>IF(ISNUMBER(E60),E60,"")</f>
        <v>1.5149999999999999</v>
      </c>
      <c r="M49" s="557">
        <f>IF(ISNUMBER(F60),F60,"")</f>
        <v>10.535</v>
      </c>
      <c r="N49" s="558"/>
      <c r="O49" s="119" t="s">
        <v>385</v>
      </c>
      <c r="P49" s="19" t="s">
        <v>108</v>
      </c>
      <c r="Q49" s="133">
        <f>L42</f>
        <v>116.15299999999995</v>
      </c>
      <c r="R49" s="133">
        <f>M42</f>
        <v>62.161999999999992</v>
      </c>
    </row>
    <row r="50" spans="1:18" ht="12.75" customHeight="1">
      <c r="A50" s="859"/>
      <c r="B50" s="856"/>
      <c r="C50" s="556" t="s">
        <v>519</v>
      </c>
      <c r="D50" s="553" t="s">
        <v>764</v>
      </c>
      <c r="E50" s="656">
        <v>0</v>
      </c>
      <c r="F50" s="126">
        <v>0</v>
      </c>
      <c r="H50" s="564" t="s">
        <v>50</v>
      </c>
      <c r="I50" s="855" t="s">
        <v>159</v>
      </c>
      <c r="J50" s="556" t="s">
        <v>51</v>
      </c>
      <c r="K50" s="553" t="s">
        <v>113</v>
      </c>
      <c r="L50" s="557">
        <f>IF(OR(ISNUMBER(E63),ISNUMBER(E68)),E63+E68,"")</f>
        <v>8857.27</v>
      </c>
      <c r="M50" s="557">
        <f>IF(OR(ISNUMBER(F63),ISNUMBER(F68)),F63+F68,"")</f>
        <v>8873.1315000000068</v>
      </c>
      <c r="N50" s="558"/>
      <c r="O50" s="119" t="s">
        <v>386</v>
      </c>
      <c r="P50" s="19" t="s">
        <v>107</v>
      </c>
      <c r="Q50" s="133">
        <f>L41</f>
        <v>2117.0175500000009</v>
      </c>
      <c r="R50" s="133">
        <f>M41</f>
        <v>2532.245576999996</v>
      </c>
    </row>
    <row r="51" spans="1:18" ht="12.75" customHeight="1">
      <c r="A51" s="859"/>
      <c r="B51" s="856"/>
      <c r="C51" s="556" t="s">
        <v>40</v>
      </c>
      <c r="D51" s="553" t="s">
        <v>765</v>
      </c>
      <c r="E51" s="656">
        <v>116.15299999999995</v>
      </c>
      <c r="F51" s="126">
        <v>62.161999999999992</v>
      </c>
      <c r="H51" s="565"/>
      <c r="I51" s="856"/>
      <c r="J51" s="556" t="s">
        <v>115</v>
      </c>
      <c r="K51" s="553" t="s">
        <v>114</v>
      </c>
      <c r="L51" s="557">
        <f>IF(ISNUMBER(E64),E64,"")</f>
        <v>29676.50168000074</v>
      </c>
      <c r="M51" s="557">
        <f>IF(ISNUMBER(F64),F64,"")</f>
        <v>32410.364120000813</v>
      </c>
      <c r="N51" s="558"/>
      <c r="O51" s="119" t="s">
        <v>387</v>
      </c>
      <c r="P51" s="19" t="s">
        <v>388</v>
      </c>
      <c r="Q51" s="125"/>
      <c r="R51" s="125"/>
    </row>
    <row r="52" spans="1:18" ht="12.75" customHeight="1">
      <c r="A52" s="860"/>
      <c r="B52" s="857"/>
      <c r="C52" s="556" t="s">
        <v>41</v>
      </c>
      <c r="D52" s="553" t="s">
        <v>766</v>
      </c>
      <c r="E52" s="656">
        <v>0</v>
      </c>
      <c r="F52" s="126">
        <v>0</v>
      </c>
      <c r="H52" s="565"/>
      <c r="I52" s="856"/>
      <c r="J52" s="556" t="s">
        <v>52</v>
      </c>
      <c r="K52" s="553" t="s">
        <v>116</v>
      </c>
      <c r="L52" s="557">
        <f>IF(ISNUMBER(E66),E66,"")</f>
        <v>0</v>
      </c>
      <c r="M52" s="557">
        <f>IF(ISNUMBER(F66),F66,"")</f>
        <v>0</v>
      </c>
      <c r="N52" s="558"/>
      <c r="O52" s="119" t="s">
        <v>389</v>
      </c>
      <c r="P52" s="19" t="s">
        <v>390</v>
      </c>
      <c r="Q52" s="125"/>
      <c r="R52" s="125"/>
    </row>
    <row r="53" spans="1:18">
      <c r="A53" s="858" t="s">
        <v>42</v>
      </c>
      <c r="B53" s="855" t="s">
        <v>154</v>
      </c>
      <c r="C53" s="556" t="s">
        <v>43</v>
      </c>
      <c r="D53" s="553" t="s">
        <v>767</v>
      </c>
      <c r="E53" s="656">
        <v>0</v>
      </c>
      <c r="F53" s="126">
        <v>0</v>
      </c>
      <c r="H53" s="567"/>
      <c r="I53" s="857"/>
      <c r="J53" s="556" t="s">
        <v>118</v>
      </c>
      <c r="K53" s="553" t="s">
        <v>117</v>
      </c>
      <c r="L53" s="557">
        <f>IF(ISNUMBER(E67),E67,"")</f>
        <v>0</v>
      </c>
      <c r="M53" s="557">
        <f>IF(ISNUMBER(F67),F67,"")</f>
        <v>0</v>
      </c>
      <c r="N53" s="558"/>
      <c r="O53" s="119" t="s">
        <v>391</v>
      </c>
      <c r="P53" s="19" t="s">
        <v>392</v>
      </c>
      <c r="Q53" s="133">
        <f>L56</f>
        <v>0.185</v>
      </c>
      <c r="R53" s="133">
        <f>M56</f>
        <v>1.4999999999999999E-2</v>
      </c>
    </row>
    <row r="54" spans="1:18" ht="15" customHeight="1">
      <c r="A54" s="859"/>
      <c r="B54" s="856"/>
      <c r="C54" s="556" t="s">
        <v>44</v>
      </c>
      <c r="D54" s="553" t="s">
        <v>111</v>
      </c>
      <c r="E54" s="656">
        <v>237.43999999999997</v>
      </c>
      <c r="F54" s="126">
        <v>313.04546999999997</v>
      </c>
      <c r="H54" s="564" t="s">
        <v>53</v>
      </c>
      <c r="I54" s="855" t="s">
        <v>54</v>
      </c>
      <c r="J54" s="556" t="s">
        <v>55</v>
      </c>
      <c r="K54" s="568" t="s">
        <v>160</v>
      </c>
      <c r="L54" s="557">
        <f>IF(OR(ISNUMBER(E70),ISNUMBER(E71)),E70+E71,"")</f>
        <v>1.6369999999999998</v>
      </c>
      <c r="M54" s="557">
        <f>IF(OR(ISNUMBER(F70),ISNUMBER(F71)),F70+F71,"")</f>
        <v>5.5223000000000004</v>
      </c>
      <c r="O54" s="62"/>
      <c r="P54" s="73" t="s">
        <v>405</v>
      </c>
      <c r="Q54" s="117"/>
      <c r="R54" s="117"/>
    </row>
    <row r="55" spans="1:18" ht="12.75" customHeight="1">
      <c r="A55" s="859"/>
      <c r="B55" s="856"/>
      <c r="C55" s="556" t="s">
        <v>768</v>
      </c>
      <c r="D55" s="553" t="s">
        <v>420</v>
      </c>
      <c r="E55" s="656">
        <v>0</v>
      </c>
      <c r="F55" s="126">
        <v>0.42500000000000004</v>
      </c>
      <c r="H55" s="565"/>
      <c r="I55" s="856"/>
      <c r="J55" s="556" t="s">
        <v>56</v>
      </c>
      <c r="K55" s="553" t="s">
        <v>161</v>
      </c>
      <c r="L55" s="557">
        <f>IF(ISNUMBER(E73),E73,"")</f>
        <v>0</v>
      </c>
      <c r="M55" s="557">
        <f>IF(ISNUMBER(F73),F73,"")</f>
        <v>2.39</v>
      </c>
      <c r="N55" s="558"/>
      <c r="O55" s="119" t="s">
        <v>393</v>
      </c>
      <c r="P55" s="19" t="s">
        <v>394</v>
      </c>
      <c r="Q55" s="163"/>
      <c r="R55" s="163"/>
    </row>
    <row r="56" spans="1:18" ht="12.75" customHeight="1">
      <c r="A56" s="860"/>
      <c r="B56" s="857"/>
      <c r="C56" s="556" t="s">
        <v>45</v>
      </c>
      <c r="D56" s="553" t="s">
        <v>769</v>
      </c>
      <c r="E56" s="656">
        <v>14.77</v>
      </c>
      <c r="F56" s="126">
        <v>4.84</v>
      </c>
      <c r="H56" s="565"/>
      <c r="I56" s="856"/>
      <c r="J56" s="556" t="s">
        <v>57</v>
      </c>
      <c r="K56" s="553" t="s">
        <v>162</v>
      </c>
      <c r="L56" s="557">
        <f t="shared" ref="L56:M70" si="4">IF(ISNUMBER(E74),E74,"")</f>
        <v>0.185</v>
      </c>
      <c r="M56" s="557">
        <f t="shared" si="4"/>
        <v>1.4999999999999999E-2</v>
      </c>
      <c r="N56" s="558"/>
      <c r="O56" s="119" t="s">
        <v>395</v>
      </c>
      <c r="P56" s="19" t="s">
        <v>396</v>
      </c>
      <c r="Q56" s="163"/>
      <c r="R56" s="163"/>
    </row>
    <row r="57" spans="1:18" ht="12.75" customHeight="1">
      <c r="A57" s="858" t="s">
        <v>46</v>
      </c>
      <c r="B57" s="855" t="s">
        <v>770</v>
      </c>
      <c r="C57" s="556" t="s">
        <v>47</v>
      </c>
      <c r="D57" s="553" t="s">
        <v>771</v>
      </c>
      <c r="E57" s="656">
        <v>53071.697160000571</v>
      </c>
      <c r="F57" s="126">
        <v>47586.008225000398</v>
      </c>
      <c r="H57" s="565"/>
      <c r="I57" s="856"/>
      <c r="J57" s="556" t="s">
        <v>120</v>
      </c>
      <c r="K57" s="553" t="s">
        <v>119</v>
      </c>
      <c r="L57" s="557">
        <f t="shared" si="4"/>
        <v>0</v>
      </c>
      <c r="M57" s="557">
        <f t="shared" si="4"/>
        <v>0</v>
      </c>
      <c r="N57" s="558"/>
      <c r="O57" s="72"/>
      <c r="P57" s="73" t="s">
        <v>408</v>
      </c>
      <c r="Q57" s="117"/>
      <c r="R57" s="117"/>
    </row>
    <row r="58" spans="1:18" ht="12.75" customHeight="1">
      <c r="A58" s="859"/>
      <c r="B58" s="856"/>
      <c r="C58" s="556" t="s">
        <v>48</v>
      </c>
      <c r="D58" s="553" t="s">
        <v>772</v>
      </c>
      <c r="E58" s="656">
        <v>27091.342000000433</v>
      </c>
      <c r="F58" s="126">
        <v>21796.82299999996</v>
      </c>
      <c r="H58" s="565"/>
      <c r="I58" s="856"/>
      <c r="J58" s="556" t="s">
        <v>122</v>
      </c>
      <c r="K58" s="553" t="s">
        <v>121</v>
      </c>
      <c r="L58" s="557">
        <f t="shared" si="4"/>
        <v>0</v>
      </c>
      <c r="M58" s="557">
        <f t="shared" si="4"/>
        <v>0</v>
      </c>
      <c r="N58" s="558"/>
      <c r="O58" s="562">
        <v>1</v>
      </c>
      <c r="P58" s="553" t="s">
        <v>397</v>
      </c>
      <c r="Q58" s="133">
        <f>L23+L24+L29+L30</f>
        <v>5.5259999999999998</v>
      </c>
      <c r="R58" s="133">
        <f>M23+M24+M29+M30</f>
        <v>91.653000000000006</v>
      </c>
    </row>
    <row r="59" spans="1:18" ht="15" customHeight="1">
      <c r="A59" s="859"/>
      <c r="B59" s="856"/>
      <c r="C59" s="556" t="s">
        <v>532</v>
      </c>
      <c r="D59" s="553" t="s">
        <v>421</v>
      </c>
      <c r="E59" s="656">
        <v>1789.4984000000004</v>
      </c>
      <c r="F59" s="126">
        <v>3410.3199999999988</v>
      </c>
      <c r="H59" s="565"/>
      <c r="I59" s="856"/>
      <c r="J59" s="556" t="s">
        <v>124</v>
      </c>
      <c r="K59" s="553" t="s">
        <v>123</v>
      </c>
      <c r="L59" s="557">
        <f t="shared" si="4"/>
        <v>2</v>
      </c>
      <c r="M59" s="557">
        <f t="shared" si="4"/>
        <v>0</v>
      </c>
      <c r="N59" s="558"/>
      <c r="O59" s="562">
        <v>2</v>
      </c>
      <c r="P59" s="553" t="s">
        <v>398</v>
      </c>
      <c r="Q59" s="133">
        <f>L31+L32+L33+L36</f>
        <v>5794.5249999999996</v>
      </c>
      <c r="R59" s="133">
        <f>M31+M32+M33+M36</f>
        <v>5276.6563000000006</v>
      </c>
    </row>
    <row r="60" spans="1:18" ht="12.75" customHeight="1">
      <c r="A60" s="859"/>
      <c r="B60" s="856"/>
      <c r="C60" s="552" t="s">
        <v>49</v>
      </c>
      <c r="D60" s="553" t="s">
        <v>773</v>
      </c>
      <c r="E60" s="656">
        <v>1.5149999999999999</v>
      </c>
      <c r="F60" s="126">
        <v>10.535</v>
      </c>
      <c r="H60" s="565"/>
      <c r="I60" s="856"/>
      <c r="J60" s="556" t="s">
        <v>58</v>
      </c>
      <c r="K60" s="553" t="s">
        <v>136</v>
      </c>
      <c r="L60" s="557">
        <f t="shared" si="4"/>
        <v>18.625</v>
      </c>
      <c r="M60" s="557">
        <f t="shared" si="4"/>
        <v>3.4969999999999999</v>
      </c>
      <c r="N60" s="558"/>
      <c r="O60" s="562">
        <v>3</v>
      </c>
      <c r="P60" s="553" t="s">
        <v>323</v>
      </c>
      <c r="Q60" s="133">
        <f>L60+L61+L62+L63</f>
        <v>61.151999999999987</v>
      </c>
      <c r="R60" s="133">
        <f>M60+M61+M62+M63</f>
        <v>153.81625</v>
      </c>
    </row>
    <row r="61" spans="1:18" ht="12.75" customHeight="1">
      <c r="A61" s="859"/>
      <c r="B61" s="856"/>
      <c r="C61" s="556" t="s">
        <v>540</v>
      </c>
      <c r="D61" s="553" t="s">
        <v>774</v>
      </c>
      <c r="E61" s="656">
        <v>0</v>
      </c>
      <c r="F61" s="126">
        <v>0</v>
      </c>
      <c r="H61" s="565"/>
      <c r="I61" s="856"/>
      <c r="J61" s="556" t="s">
        <v>59</v>
      </c>
      <c r="K61" s="553" t="s">
        <v>125</v>
      </c>
      <c r="L61" s="557">
        <f t="shared" si="4"/>
        <v>0</v>
      </c>
      <c r="M61" s="557">
        <f t="shared" si="4"/>
        <v>0</v>
      </c>
      <c r="N61" s="558"/>
      <c r="O61" s="562">
        <v>4</v>
      </c>
      <c r="P61" s="553" t="s">
        <v>159</v>
      </c>
      <c r="Q61" s="133">
        <f>L50+L51+L52+L53</f>
        <v>38533.77168000074</v>
      </c>
      <c r="R61" s="133">
        <f>M50+M51+M52+M53</f>
        <v>41283.495620000816</v>
      </c>
    </row>
    <row r="62" spans="1:18" ht="25.5" customHeight="1">
      <c r="A62" s="860"/>
      <c r="B62" s="857"/>
      <c r="C62" s="556" t="s">
        <v>775</v>
      </c>
      <c r="D62" s="553" t="s">
        <v>776</v>
      </c>
      <c r="E62" s="656">
        <v>4718.1749999999993</v>
      </c>
      <c r="F62" s="126">
        <v>5719.7119999999986</v>
      </c>
      <c r="H62" s="565"/>
      <c r="I62" s="856"/>
      <c r="J62" s="556" t="s">
        <v>60</v>
      </c>
      <c r="K62" s="568" t="s">
        <v>163</v>
      </c>
      <c r="L62" s="557">
        <f t="shared" si="4"/>
        <v>42.486999999999988</v>
      </c>
      <c r="M62" s="557">
        <f t="shared" si="4"/>
        <v>126.31150000000001</v>
      </c>
      <c r="N62" s="558"/>
      <c r="O62" s="562">
        <v>5</v>
      </c>
      <c r="P62" s="566" t="s">
        <v>399</v>
      </c>
      <c r="Q62" s="133">
        <f>L64</f>
        <v>1455.0599999999993</v>
      </c>
      <c r="R62" s="133">
        <f>M64</f>
        <v>2047.0027000000002</v>
      </c>
    </row>
    <row r="63" spans="1:18" ht="12.75" customHeight="1">
      <c r="A63" s="858" t="s">
        <v>50</v>
      </c>
      <c r="B63" s="855" t="s">
        <v>777</v>
      </c>
      <c r="C63" s="556" t="s">
        <v>51</v>
      </c>
      <c r="D63" s="553" t="s">
        <v>778</v>
      </c>
      <c r="E63" s="656">
        <v>7297.5540000000001</v>
      </c>
      <c r="F63" s="126">
        <v>6497.1100000000079</v>
      </c>
      <c r="H63" s="567"/>
      <c r="I63" s="857"/>
      <c r="J63" s="556" t="s">
        <v>61</v>
      </c>
      <c r="K63" s="553" t="s">
        <v>126</v>
      </c>
      <c r="L63" s="557">
        <f t="shared" si="4"/>
        <v>0.04</v>
      </c>
      <c r="M63" s="557">
        <f t="shared" si="4"/>
        <v>24.007749999999998</v>
      </c>
      <c r="N63" s="558"/>
      <c r="O63" s="562">
        <v>6</v>
      </c>
      <c r="P63" s="563" t="s">
        <v>468</v>
      </c>
      <c r="Q63" s="133">
        <f>L65</f>
        <v>1728.6962400000002</v>
      </c>
      <c r="R63" s="133">
        <f>M65</f>
        <v>1528.5129999999999</v>
      </c>
    </row>
    <row r="64" spans="1:18" ht="12.75" customHeight="1">
      <c r="A64" s="859"/>
      <c r="B64" s="856"/>
      <c r="C64" s="556" t="s">
        <v>115</v>
      </c>
      <c r="D64" s="553" t="s">
        <v>779</v>
      </c>
      <c r="E64" s="656">
        <v>29676.50168000074</v>
      </c>
      <c r="F64" s="126">
        <v>32410.364120000813</v>
      </c>
      <c r="H64" s="564" t="s">
        <v>62</v>
      </c>
      <c r="I64" s="855" t="s">
        <v>164</v>
      </c>
      <c r="J64" s="556" t="s">
        <v>63</v>
      </c>
      <c r="K64" s="553" t="s">
        <v>165</v>
      </c>
      <c r="L64" s="557">
        <f t="shared" si="4"/>
        <v>1455.0599999999993</v>
      </c>
      <c r="M64" s="557">
        <f t="shared" si="4"/>
        <v>2047.0027000000002</v>
      </c>
      <c r="O64" s="562">
        <v>7</v>
      </c>
      <c r="P64" s="563" t="s">
        <v>469</v>
      </c>
      <c r="Q64" s="133">
        <f>L66+L69</f>
        <v>111.98200000000003</v>
      </c>
      <c r="R64" s="133">
        <f>M66+M69</f>
        <v>42.099999999999994</v>
      </c>
    </row>
    <row r="65" spans="1:18" ht="12.75" customHeight="1">
      <c r="A65" s="859"/>
      <c r="B65" s="856"/>
      <c r="C65" s="556" t="s">
        <v>628</v>
      </c>
      <c r="D65" s="553" t="s">
        <v>780</v>
      </c>
      <c r="E65" s="761">
        <v>117836.86499999995</v>
      </c>
      <c r="F65" s="760">
        <v>133403.73299999995</v>
      </c>
      <c r="H65" s="565"/>
      <c r="I65" s="856"/>
      <c r="J65" s="556" t="s">
        <v>64</v>
      </c>
      <c r="K65" s="553" t="s">
        <v>127</v>
      </c>
      <c r="L65" s="557">
        <f t="shared" si="4"/>
        <v>1728.6962400000002</v>
      </c>
      <c r="M65" s="557">
        <f t="shared" si="4"/>
        <v>1528.5129999999999</v>
      </c>
      <c r="O65" s="562">
        <v>8</v>
      </c>
      <c r="P65" s="553" t="s">
        <v>133</v>
      </c>
      <c r="Q65" s="133">
        <f>L78</f>
        <v>18181.719820000035</v>
      </c>
      <c r="R65" s="133">
        <f>M78</f>
        <v>18199.786079999965</v>
      </c>
    </row>
    <row r="66" spans="1:18" ht="12.75" customHeight="1">
      <c r="A66" s="859"/>
      <c r="B66" s="856"/>
      <c r="C66" s="556" t="s">
        <v>52</v>
      </c>
      <c r="D66" s="553" t="s">
        <v>781</v>
      </c>
      <c r="E66" s="656">
        <v>0</v>
      </c>
      <c r="F66" s="126">
        <v>0</v>
      </c>
      <c r="H66" s="565"/>
      <c r="I66" s="856"/>
      <c r="J66" s="556" t="s">
        <v>65</v>
      </c>
      <c r="K66" s="553" t="s">
        <v>166</v>
      </c>
      <c r="L66" s="557">
        <f t="shared" si="4"/>
        <v>13.32</v>
      </c>
      <c r="M66" s="557">
        <f t="shared" si="4"/>
        <v>14.8</v>
      </c>
    </row>
    <row r="67" spans="1:18" ht="12.75" customHeight="1">
      <c r="A67" s="859"/>
      <c r="B67" s="856"/>
      <c r="C67" s="556" t="s">
        <v>118</v>
      </c>
      <c r="D67" s="553" t="s">
        <v>117</v>
      </c>
      <c r="E67" s="656">
        <v>0</v>
      </c>
      <c r="F67" s="126">
        <v>0</v>
      </c>
      <c r="H67" s="565"/>
      <c r="I67" s="856"/>
      <c r="J67" s="556" t="s">
        <v>66</v>
      </c>
      <c r="K67" s="553" t="s">
        <v>173</v>
      </c>
      <c r="L67" s="557">
        <f t="shared" si="4"/>
        <v>2.7</v>
      </c>
      <c r="M67" s="557">
        <f t="shared" si="4"/>
        <v>42.059999999999995</v>
      </c>
    </row>
    <row r="68" spans="1:18" ht="12.75" customHeight="1">
      <c r="A68" s="859"/>
      <c r="B68" s="856"/>
      <c r="C68" s="556" t="s">
        <v>546</v>
      </c>
      <c r="D68" s="553" t="s">
        <v>782</v>
      </c>
      <c r="E68" s="656">
        <v>1559.7160000000001</v>
      </c>
      <c r="F68" s="126">
        <v>2376.0214999999994</v>
      </c>
      <c r="H68" s="565"/>
      <c r="I68" s="856"/>
      <c r="J68" s="556" t="s">
        <v>67</v>
      </c>
      <c r="K68" s="553" t="s">
        <v>174</v>
      </c>
      <c r="L68" s="557">
        <f t="shared" si="4"/>
        <v>6282.2760000000017</v>
      </c>
      <c r="M68" s="557">
        <f t="shared" si="4"/>
        <v>146.98500000000001</v>
      </c>
    </row>
    <row r="69" spans="1:18" ht="12.75" customHeight="1">
      <c r="A69" s="860"/>
      <c r="B69" s="857"/>
      <c r="C69" s="556" t="s">
        <v>783</v>
      </c>
      <c r="D69" s="566" t="s">
        <v>784</v>
      </c>
      <c r="E69" s="761">
        <v>115391.06150000083</v>
      </c>
      <c r="F69" s="760">
        <v>119976.11020000074</v>
      </c>
      <c r="H69" s="565"/>
      <c r="I69" s="856"/>
      <c r="J69" s="556" t="s">
        <v>68</v>
      </c>
      <c r="K69" s="553" t="s">
        <v>175</v>
      </c>
      <c r="L69" s="557">
        <f t="shared" si="4"/>
        <v>98.66200000000002</v>
      </c>
      <c r="M69" s="557">
        <f t="shared" si="4"/>
        <v>27.299999999999997</v>
      </c>
    </row>
    <row r="70" spans="1:18" ht="12.75" customHeight="1">
      <c r="A70" s="858" t="s">
        <v>53</v>
      </c>
      <c r="B70" s="855" t="s">
        <v>785</v>
      </c>
      <c r="C70" s="556" t="s">
        <v>55</v>
      </c>
      <c r="D70" s="553" t="s">
        <v>786</v>
      </c>
      <c r="E70" s="656">
        <v>1.6369999999999998</v>
      </c>
      <c r="F70" s="126">
        <v>5.5223000000000004</v>
      </c>
      <c r="H70" s="565"/>
      <c r="I70" s="856"/>
      <c r="J70" s="556" t="s">
        <v>128</v>
      </c>
      <c r="K70" s="553" t="s">
        <v>167</v>
      </c>
      <c r="L70" s="557">
        <f t="shared" si="4"/>
        <v>5179.7835400000022</v>
      </c>
      <c r="M70" s="557">
        <f t="shared" si="4"/>
        <v>12469.371774999981</v>
      </c>
    </row>
    <row r="71" spans="1:18" ht="15" customHeight="1">
      <c r="A71" s="859"/>
      <c r="B71" s="856"/>
      <c r="C71" s="556" t="s">
        <v>787</v>
      </c>
      <c r="D71" s="553" t="s">
        <v>788</v>
      </c>
      <c r="E71" s="656">
        <v>0</v>
      </c>
      <c r="F71" s="126">
        <v>0</v>
      </c>
      <c r="H71" s="565"/>
      <c r="I71" s="856"/>
      <c r="J71" s="556" t="s">
        <v>69</v>
      </c>
      <c r="K71" s="553" t="s">
        <v>129</v>
      </c>
      <c r="L71" s="557">
        <f>IF(ISNUMBER(E89),E89,"")</f>
        <v>0</v>
      </c>
      <c r="M71" s="557">
        <f>IF(ISNUMBER(F89),F89,"")</f>
        <v>8</v>
      </c>
    </row>
    <row r="72" spans="1:18" ht="12.75" customHeight="1">
      <c r="A72" s="859"/>
      <c r="B72" s="856"/>
      <c r="C72" s="556" t="s">
        <v>558</v>
      </c>
      <c r="D72" s="553" t="s">
        <v>789</v>
      </c>
      <c r="E72" s="656">
        <v>1394.0340000000067</v>
      </c>
      <c r="F72" s="126">
        <v>1688.3775000000051</v>
      </c>
      <c r="H72" s="567"/>
      <c r="I72" s="857"/>
      <c r="J72" s="556" t="s">
        <v>70</v>
      </c>
      <c r="K72" s="553" t="s">
        <v>168</v>
      </c>
      <c r="L72" s="557">
        <f>IF(ISNUMBER(E90),E90,"")</f>
        <v>0</v>
      </c>
      <c r="M72" s="557">
        <f>IF(ISNUMBER(F90),F90,"")</f>
        <v>0</v>
      </c>
    </row>
    <row r="73" spans="1:18" ht="12.75" customHeight="1">
      <c r="A73" s="859"/>
      <c r="B73" s="856"/>
      <c r="C73" s="556" t="s">
        <v>56</v>
      </c>
      <c r="D73" s="553" t="s">
        <v>790</v>
      </c>
      <c r="E73" s="656">
        <v>0</v>
      </c>
      <c r="F73" s="126">
        <v>2.39</v>
      </c>
      <c r="H73" s="564" t="s">
        <v>71</v>
      </c>
      <c r="I73" s="855" t="s">
        <v>169</v>
      </c>
      <c r="J73" s="556" t="s">
        <v>72</v>
      </c>
      <c r="K73" s="553" t="s">
        <v>170</v>
      </c>
      <c r="L73" s="557">
        <f>IF(OR(ISNUMBER(E91),ISNUMBER(E93)),E91+E93,"")</f>
        <v>1868.3677599999719</v>
      </c>
      <c r="M73" s="557">
        <f>IF(OR(ISNUMBER(F91),ISNUMBER(F93)),F91+F93,"")</f>
        <v>1420.6273139999744</v>
      </c>
    </row>
    <row r="74" spans="1:18" ht="25.5" customHeight="1">
      <c r="A74" s="859"/>
      <c r="B74" s="856"/>
      <c r="C74" s="556" t="s">
        <v>57</v>
      </c>
      <c r="D74" s="553" t="s">
        <v>791</v>
      </c>
      <c r="E74" s="656">
        <v>0.185</v>
      </c>
      <c r="F74" s="126">
        <v>1.4999999999999999E-2</v>
      </c>
      <c r="H74" s="565"/>
      <c r="I74" s="856"/>
      <c r="J74" s="556" t="s">
        <v>73</v>
      </c>
      <c r="K74" s="553" t="s">
        <v>130</v>
      </c>
      <c r="L74" s="557">
        <f>IF(ISNUMBER(E92),E92,"")</f>
        <v>0</v>
      </c>
      <c r="M74" s="557">
        <f>IF(ISNUMBER(F92),F92,"")</f>
        <v>0</v>
      </c>
    </row>
    <row r="75" spans="1:18" ht="12.75" customHeight="1">
      <c r="A75" s="859"/>
      <c r="B75" s="856"/>
      <c r="C75" s="552" t="s">
        <v>120</v>
      </c>
      <c r="D75" s="553" t="s">
        <v>792</v>
      </c>
      <c r="E75" s="656">
        <v>0</v>
      </c>
      <c r="F75" s="126">
        <v>0</v>
      </c>
      <c r="H75" s="567"/>
      <c r="I75" s="857"/>
      <c r="J75" s="556" t="s">
        <v>74</v>
      </c>
      <c r="K75" s="553" t="s">
        <v>131</v>
      </c>
      <c r="L75" s="557">
        <f t="shared" ref="L75:M78" si="5">IF(ISNUMBER(E94),E94,"")</f>
        <v>0</v>
      </c>
      <c r="M75" s="557">
        <f t="shared" si="5"/>
        <v>0</v>
      </c>
    </row>
    <row r="76" spans="1:18" ht="38.25" customHeight="1">
      <c r="A76" s="859"/>
      <c r="B76" s="856"/>
      <c r="C76" s="552" t="s">
        <v>122</v>
      </c>
      <c r="D76" s="553" t="s">
        <v>793</v>
      </c>
      <c r="E76" s="656">
        <v>0</v>
      </c>
      <c r="F76" s="126">
        <v>0</v>
      </c>
      <c r="H76" s="564" t="s">
        <v>75</v>
      </c>
      <c r="I76" s="855" t="s">
        <v>76</v>
      </c>
      <c r="J76" s="556" t="s">
        <v>77</v>
      </c>
      <c r="K76" s="568" t="s">
        <v>171</v>
      </c>
      <c r="L76" s="557">
        <f t="shared" si="5"/>
        <v>243.97452500000006</v>
      </c>
      <c r="M76" s="557">
        <f t="shared" si="5"/>
        <v>291.63421000000011</v>
      </c>
    </row>
    <row r="77" spans="1:18" ht="12.75" customHeight="1">
      <c r="A77" s="859"/>
      <c r="B77" s="856"/>
      <c r="C77" s="556" t="s">
        <v>124</v>
      </c>
      <c r="D77" s="553" t="s">
        <v>794</v>
      </c>
      <c r="E77" s="656">
        <v>2</v>
      </c>
      <c r="F77" s="126">
        <v>0</v>
      </c>
      <c r="H77" s="569"/>
      <c r="I77" s="856"/>
      <c r="J77" s="556" t="s">
        <v>78</v>
      </c>
      <c r="K77" s="553" t="s">
        <v>132</v>
      </c>
      <c r="L77" s="557">
        <f t="shared" si="5"/>
        <v>3.1224499999999997</v>
      </c>
      <c r="M77" s="557">
        <f t="shared" si="5"/>
        <v>6.3480000000000016</v>
      </c>
    </row>
    <row r="78" spans="1:18" ht="12.75" customHeight="1">
      <c r="A78" s="859"/>
      <c r="B78" s="856"/>
      <c r="C78" s="556" t="s">
        <v>58</v>
      </c>
      <c r="D78" s="553" t="s">
        <v>136</v>
      </c>
      <c r="E78" s="656">
        <v>18.625</v>
      </c>
      <c r="F78" s="126">
        <v>3.4969999999999999</v>
      </c>
      <c r="H78" s="569"/>
      <c r="I78" s="856"/>
      <c r="J78" s="556" t="s">
        <v>134</v>
      </c>
      <c r="K78" s="553" t="s">
        <v>133</v>
      </c>
      <c r="L78" s="557">
        <f t="shared" si="5"/>
        <v>18181.719820000035</v>
      </c>
      <c r="M78" s="557">
        <f t="shared" si="5"/>
        <v>18199.786079999965</v>
      </c>
    </row>
    <row r="79" spans="1:18" ht="15" customHeight="1">
      <c r="A79" s="859"/>
      <c r="B79" s="856"/>
      <c r="C79" s="552" t="s">
        <v>59</v>
      </c>
      <c r="D79" s="553" t="s">
        <v>795</v>
      </c>
      <c r="E79" s="656">
        <v>0</v>
      </c>
      <c r="F79" s="126">
        <v>0</v>
      </c>
      <c r="H79" s="570"/>
      <c r="I79" s="857"/>
      <c r="J79" s="556" t="s">
        <v>172</v>
      </c>
      <c r="K79" s="553" t="s">
        <v>135</v>
      </c>
      <c r="L79" s="557">
        <f>IF(OR(ISNUMBER(E42),ISNUMBER(E43)),E42+E43,"")</f>
        <v>2.1</v>
      </c>
      <c r="M79" s="557">
        <f>IF(OR(ISNUMBER(F42),ISNUMBER(F43)),F42+F43,"")</f>
        <v>0.57499999999999996</v>
      </c>
    </row>
    <row r="80" spans="1:18" s="554" customFormat="1" ht="12.75" customHeight="1">
      <c r="A80" s="859"/>
      <c r="B80" s="856"/>
      <c r="C80" s="556" t="s">
        <v>60</v>
      </c>
      <c r="D80" s="553" t="s">
        <v>796</v>
      </c>
      <c r="E80" s="656">
        <v>42.486999999999988</v>
      </c>
      <c r="F80" s="126">
        <v>126.31150000000001</v>
      </c>
      <c r="H80" s="571"/>
      <c r="I80" s="559"/>
      <c r="J80" s="559"/>
      <c r="K80" s="559"/>
      <c r="L80" s="572"/>
      <c r="M80" s="572"/>
      <c r="O80" s="559"/>
      <c r="P80" s="559"/>
    </row>
    <row r="81" spans="1:16" s="554" customFormat="1" ht="25.5" customHeight="1">
      <c r="A81" s="860"/>
      <c r="B81" s="857"/>
      <c r="C81" s="556" t="s">
        <v>61</v>
      </c>
      <c r="D81" s="566" t="s">
        <v>797</v>
      </c>
      <c r="E81" s="656">
        <v>0.04</v>
      </c>
      <c r="F81" s="126">
        <v>24.007749999999998</v>
      </c>
      <c r="H81" s="571"/>
      <c r="I81" s="559"/>
      <c r="J81" s="559"/>
      <c r="K81" s="559"/>
      <c r="L81" s="572"/>
      <c r="M81" s="572"/>
    </row>
    <row r="82" spans="1:16" s="554" customFormat="1" ht="12.75" customHeight="1">
      <c r="A82" s="858" t="s">
        <v>62</v>
      </c>
      <c r="B82" s="855" t="s">
        <v>798</v>
      </c>
      <c r="C82" s="556" t="s">
        <v>63</v>
      </c>
      <c r="D82" s="553" t="s">
        <v>799</v>
      </c>
      <c r="E82" s="656">
        <v>1455.0599999999993</v>
      </c>
      <c r="F82" s="126">
        <v>2047.0027000000002</v>
      </c>
      <c r="H82" s="571"/>
      <c r="I82" s="559"/>
      <c r="J82" s="559"/>
      <c r="K82" s="559"/>
      <c r="L82" s="572"/>
      <c r="M82" s="572"/>
    </row>
    <row r="83" spans="1:16" s="554" customFormat="1" ht="12.75" customHeight="1">
      <c r="A83" s="859"/>
      <c r="B83" s="856"/>
      <c r="C83" s="556" t="s">
        <v>64</v>
      </c>
      <c r="D83" s="553" t="s">
        <v>127</v>
      </c>
      <c r="E83" s="656">
        <v>1728.6962400000002</v>
      </c>
      <c r="F83" s="126">
        <v>1528.5129999999999</v>
      </c>
      <c r="H83" s="571"/>
      <c r="I83" s="559"/>
      <c r="J83" s="559"/>
      <c r="K83" s="559"/>
      <c r="L83" s="572"/>
      <c r="M83" s="572"/>
    </row>
    <row r="84" spans="1:16" s="554" customFormat="1" ht="12.75" customHeight="1">
      <c r="A84" s="859"/>
      <c r="B84" s="856"/>
      <c r="C84" s="552" t="s">
        <v>65</v>
      </c>
      <c r="D84" s="553" t="s">
        <v>800</v>
      </c>
      <c r="E84" s="656">
        <v>13.32</v>
      </c>
      <c r="F84" s="126">
        <v>14.8</v>
      </c>
      <c r="H84" s="571"/>
      <c r="I84" s="559"/>
      <c r="J84" s="559"/>
      <c r="K84" s="559"/>
      <c r="L84" s="572"/>
      <c r="M84" s="572"/>
    </row>
    <row r="85" spans="1:16" s="554" customFormat="1">
      <c r="A85" s="859"/>
      <c r="B85" s="856"/>
      <c r="C85" s="556" t="s">
        <v>66</v>
      </c>
      <c r="D85" s="553" t="s">
        <v>648</v>
      </c>
      <c r="E85" s="656">
        <v>2.7</v>
      </c>
      <c r="F85" s="126">
        <v>42.059999999999995</v>
      </c>
      <c r="H85" s="571"/>
      <c r="M85" s="572"/>
    </row>
    <row r="86" spans="1:16" s="554" customFormat="1">
      <c r="A86" s="859"/>
      <c r="B86" s="856"/>
      <c r="C86" s="556" t="s">
        <v>67</v>
      </c>
      <c r="D86" s="566" t="s">
        <v>801</v>
      </c>
      <c r="E86" s="656">
        <v>6282.2760000000017</v>
      </c>
      <c r="F86" s="126">
        <v>146.98500000000001</v>
      </c>
      <c r="H86" s="571"/>
      <c r="I86" s="559"/>
      <c r="J86" s="559"/>
      <c r="K86" s="559"/>
      <c r="L86" s="572"/>
      <c r="M86" s="572"/>
    </row>
    <row r="87" spans="1:16" s="554" customFormat="1" ht="15" customHeight="1">
      <c r="A87" s="859"/>
      <c r="B87" s="856"/>
      <c r="C87" s="556" t="s">
        <v>68</v>
      </c>
      <c r="D87" s="553" t="s">
        <v>802</v>
      </c>
      <c r="E87" s="656">
        <v>98.66200000000002</v>
      </c>
      <c r="F87" s="126">
        <v>27.299999999999997</v>
      </c>
      <c r="H87" s="571"/>
      <c r="I87" s="559"/>
      <c r="J87" s="559"/>
      <c r="K87" s="559"/>
      <c r="L87" s="572"/>
      <c r="M87" s="572"/>
    </row>
    <row r="88" spans="1:16" s="554" customFormat="1">
      <c r="A88" s="859"/>
      <c r="B88" s="856"/>
      <c r="C88" s="552" t="s">
        <v>128</v>
      </c>
      <c r="D88" s="553" t="s">
        <v>803</v>
      </c>
      <c r="E88" s="656">
        <v>5179.7835400000022</v>
      </c>
      <c r="F88" s="126">
        <v>12469.371774999981</v>
      </c>
      <c r="H88" s="571"/>
      <c r="I88" s="559"/>
      <c r="J88" s="559"/>
      <c r="K88" s="559"/>
      <c r="L88" s="572"/>
      <c r="M88" s="572"/>
    </row>
    <row r="89" spans="1:16" s="554" customFormat="1">
      <c r="A89" s="859"/>
      <c r="B89" s="856"/>
      <c r="C89" s="556" t="s">
        <v>69</v>
      </c>
      <c r="D89" s="553" t="s">
        <v>129</v>
      </c>
      <c r="E89" s="656">
        <v>0</v>
      </c>
      <c r="F89" s="126">
        <v>8</v>
      </c>
      <c r="H89" s="571"/>
      <c r="I89" s="559"/>
      <c r="J89" s="559"/>
      <c r="K89" s="559"/>
      <c r="L89" s="572"/>
      <c r="M89" s="572"/>
    </row>
    <row r="90" spans="1:16" s="554" customFormat="1">
      <c r="A90" s="860"/>
      <c r="B90" s="857"/>
      <c r="C90" s="552" t="s">
        <v>70</v>
      </c>
      <c r="D90" s="553" t="s">
        <v>804</v>
      </c>
      <c r="E90" s="656">
        <v>0</v>
      </c>
      <c r="F90" s="126">
        <v>0</v>
      </c>
      <c r="H90" s="571"/>
      <c r="I90" s="559"/>
      <c r="J90" s="559"/>
      <c r="K90" s="559"/>
      <c r="L90" s="572"/>
      <c r="M90" s="572"/>
    </row>
    <row r="91" spans="1:16">
      <c r="A91" s="858" t="s">
        <v>71</v>
      </c>
      <c r="B91" s="855" t="s">
        <v>170</v>
      </c>
      <c r="C91" s="556" t="s">
        <v>72</v>
      </c>
      <c r="D91" s="553" t="s">
        <v>170</v>
      </c>
      <c r="E91" s="656">
        <v>1868.3677599999719</v>
      </c>
      <c r="F91" s="126">
        <v>1420.6273139999744</v>
      </c>
      <c r="O91" s="554"/>
      <c r="P91" s="554"/>
    </row>
    <row r="92" spans="1:16">
      <c r="A92" s="859"/>
      <c r="B92" s="856"/>
      <c r="C92" s="556" t="s">
        <v>73</v>
      </c>
      <c r="D92" s="553" t="s">
        <v>130</v>
      </c>
      <c r="E92" s="656">
        <v>0</v>
      </c>
      <c r="F92" s="126">
        <v>0</v>
      </c>
    </row>
    <row r="93" spans="1:16">
      <c r="A93" s="859"/>
      <c r="B93" s="856"/>
      <c r="C93" s="556" t="s">
        <v>600</v>
      </c>
      <c r="D93" s="553" t="s">
        <v>805</v>
      </c>
      <c r="E93" s="656">
        <v>0</v>
      </c>
      <c r="F93" s="126">
        <v>0</v>
      </c>
    </row>
    <row r="94" spans="1:16">
      <c r="A94" s="860"/>
      <c r="B94" s="857"/>
      <c r="C94" s="556" t="s">
        <v>74</v>
      </c>
      <c r="D94" s="553" t="s">
        <v>806</v>
      </c>
      <c r="E94" s="656">
        <v>0</v>
      </c>
      <c r="F94" s="126">
        <v>0</v>
      </c>
    </row>
    <row r="95" spans="1:16">
      <c r="A95" s="858" t="s">
        <v>75</v>
      </c>
      <c r="B95" s="861" t="s">
        <v>76</v>
      </c>
      <c r="C95" s="552" t="s">
        <v>77</v>
      </c>
      <c r="D95" s="553" t="s">
        <v>807</v>
      </c>
      <c r="E95" s="656">
        <v>243.97452500000006</v>
      </c>
      <c r="F95" s="126">
        <v>291.63421000000011</v>
      </c>
    </row>
    <row r="96" spans="1:16">
      <c r="A96" s="859"/>
      <c r="B96" s="862"/>
      <c r="C96" s="552" t="s">
        <v>78</v>
      </c>
      <c r="D96" s="553" t="s">
        <v>808</v>
      </c>
      <c r="E96" s="656">
        <v>3.1224499999999997</v>
      </c>
      <c r="F96" s="126">
        <v>6.3480000000000016</v>
      </c>
    </row>
    <row r="97" spans="1:6">
      <c r="A97" s="860"/>
      <c r="B97" s="863"/>
      <c r="C97" s="552" t="s">
        <v>134</v>
      </c>
      <c r="D97" s="553" t="s">
        <v>424</v>
      </c>
      <c r="E97" s="656">
        <v>18181.719820000035</v>
      </c>
      <c r="F97" s="126">
        <v>18199.786079999965</v>
      </c>
    </row>
    <row r="148" spans="7:7">
      <c r="G148" s="553" t="s">
        <v>809</v>
      </c>
    </row>
    <row r="149" spans="7:7">
      <c r="G149" s="553" t="s">
        <v>809</v>
      </c>
    </row>
    <row r="150" spans="7:7">
      <c r="G150" s="553" t="s">
        <v>809</v>
      </c>
    </row>
    <row r="153" spans="7:7" ht="25.5" customHeight="1"/>
    <row r="158" spans="7:7" ht="15" customHeight="1">
      <c r="G158" s="553" t="s">
        <v>809</v>
      </c>
    </row>
    <row r="159" spans="7:7">
      <c r="G159" s="553" t="s">
        <v>809</v>
      </c>
    </row>
    <row r="160" spans="7:7">
      <c r="G160" s="553" t="s">
        <v>809</v>
      </c>
    </row>
    <row r="161" spans="7:7">
      <c r="G161" s="553" t="s">
        <v>810</v>
      </c>
    </row>
    <row r="162" spans="7:7">
      <c r="G162" s="553" t="s">
        <v>810</v>
      </c>
    </row>
    <row r="163" spans="7:7">
      <c r="G163" s="553" t="s">
        <v>810</v>
      </c>
    </row>
    <row r="164" spans="7:7">
      <c r="G164" s="553" t="s">
        <v>810</v>
      </c>
    </row>
    <row r="165" spans="7:7">
      <c r="G165" s="553" t="s">
        <v>810</v>
      </c>
    </row>
    <row r="172" spans="7:7" ht="15" customHeight="1"/>
    <row r="178" ht="25.5" customHeight="1"/>
    <row r="203" ht="15" customHeight="1"/>
  </sheetData>
  <mergeCells count="36">
    <mergeCell ref="A44:A47"/>
    <mergeCell ref="B44:B47"/>
    <mergeCell ref="I44:I46"/>
    <mergeCell ref="I47:I49"/>
    <mergeCell ref="A48:A52"/>
    <mergeCell ref="B48:B52"/>
    <mergeCell ref="I50:I53"/>
    <mergeCell ref="A53:A56"/>
    <mergeCell ref="B53:B56"/>
    <mergeCell ref="I54:I63"/>
    <mergeCell ref="A57:A62"/>
    <mergeCell ref="B57:B62"/>
    <mergeCell ref="A63:A69"/>
    <mergeCell ref="B63:B69"/>
    <mergeCell ref="I64:I72"/>
    <mergeCell ref="A70:A81"/>
    <mergeCell ref="Q5:R5"/>
    <mergeCell ref="E6:F6"/>
    <mergeCell ref="L6:M6"/>
    <mergeCell ref="Q6:R6"/>
    <mergeCell ref="A13:A40"/>
    <mergeCell ref="B13:B40"/>
    <mergeCell ref="I13:I36"/>
    <mergeCell ref="I38:I39"/>
    <mergeCell ref="I40:I43"/>
    <mergeCell ref="A41:A43"/>
    <mergeCell ref="B41:B43"/>
    <mergeCell ref="I73:I75"/>
    <mergeCell ref="I76:I79"/>
    <mergeCell ref="A91:A94"/>
    <mergeCell ref="B91:B94"/>
    <mergeCell ref="A95:A97"/>
    <mergeCell ref="B95:B97"/>
    <mergeCell ref="B70:B81"/>
    <mergeCell ref="A82:A90"/>
    <mergeCell ref="B82:B90"/>
  </mergeCells>
  <conditionalFormatting sqref="E8:F64 E66:F68 E70:F97">
    <cfRule type="expression" dxfId="52" priority="1">
      <formula>ISNUMBER(E8)</formula>
    </cfRule>
  </conditionalFormatting>
  <pageMargins left="0.25" right="0.25" top="0.75" bottom="0.75" header="0.3" footer="0.3"/>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Intro</vt:lpstr>
      <vt:lpstr>ACT</vt:lpstr>
      <vt:lpstr>NSW</vt:lpstr>
      <vt:lpstr>NT</vt:lpstr>
      <vt:lpstr>Qld</vt:lpstr>
      <vt:lpstr>SA</vt:lpstr>
      <vt:lpstr>TAS</vt:lpstr>
      <vt:lpstr>Vic</vt:lpstr>
      <vt:lpstr>WA</vt:lpstr>
      <vt:lpstr>Validation</vt:lpstr>
      <vt:lpstr>Gap data 1</vt:lpstr>
      <vt:lpstr>Gap data 2</vt:lpstr>
      <vt:lpstr>Adjusted jurisdiction data</vt:lpstr>
      <vt:lpstr>National data</vt:lpstr>
      <vt:lpstr>Approved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Bloomfield</dc:creator>
  <cp:lastModifiedBy>A20399</cp:lastModifiedBy>
  <cp:lastPrinted>2013-11-22T02:14:30Z</cp:lastPrinted>
  <dcterms:created xsi:type="dcterms:W3CDTF">2013-01-18T05:23:10Z</dcterms:created>
  <dcterms:modified xsi:type="dcterms:W3CDTF">2015-10-21T02:48:15Z</dcterms:modified>
</cp:coreProperties>
</file>