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480" yWindow="510" windowWidth="14880" windowHeight="7320" tabRatio="626"/>
  </bookViews>
  <sheets>
    <sheet name="Intro" sheetId="46" r:id="rId1"/>
    <sheet name="ACT" sheetId="40" r:id="rId2"/>
    <sheet name="NSW" sheetId="51" r:id="rId3"/>
    <sheet name="NT" sheetId="50" r:id="rId4"/>
    <sheet name="Qld" sheetId="48" r:id="rId5"/>
    <sheet name="SA" sheetId="29" r:id="rId6"/>
    <sheet name="TAS" sheetId="49" r:id="rId7"/>
    <sheet name="Vic" sheetId="47" r:id="rId8"/>
    <sheet name="WA" sheetId="52" r:id="rId9"/>
    <sheet name="Validation" sheetId="42" r:id="rId10"/>
    <sheet name="Gap data" sheetId="43" r:id="rId11"/>
    <sheet name="Adjusted jurisdiction data" sheetId="44" r:id="rId12"/>
    <sheet name="National generation" sheetId="45" r:id="rId13"/>
    <sheet name="Imp Exp" sheetId="54" r:id="rId14"/>
  </sheets>
  <definedNames>
    <definedName name="Approved">Validation!$F$4</definedName>
    <definedName name="Biosolids">'Gap data'!$A$25</definedName>
    <definedName name="Hhold_waste">'Gap data'!$A$15</definedName>
    <definedName name="Instructions_to_users">Intro!$A$12</definedName>
    <definedName name="Multiple_count_factors">'Gap data'!$A$44</definedName>
    <definedName name="Popn_data">'Gap data'!$A$10</definedName>
    <definedName name="Tyres">'Gap data'!$A$37</definedName>
    <definedName name="Weighted_avs">'Gap data'!$A$130</definedName>
  </definedNames>
  <calcPr calcId="125725"/>
</workbook>
</file>

<file path=xl/calcChain.xml><?xml version="1.0" encoding="utf-8"?>
<calcChain xmlns="http://schemas.openxmlformats.org/spreadsheetml/2006/main">
  <c r="M509" i="44"/>
  <c r="N509"/>
  <c r="M510"/>
  <c r="N510"/>
  <c r="M511"/>
  <c r="N511"/>
  <c r="M461"/>
  <c r="N461"/>
  <c r="M480"/>
  <c r="N480"/>
  <c r="M481"/>
  <c r="N481"/>
  <c r="N460"/>
  <c r="M460"/>
  <c r="N355"/>
  <c r="M355"/>
  <c r="N354"/>
  <c r="M354"/>
  <c r="N299"/>
  <c r="M299"/>
  <c r="M250"/>
  <c r="N250"/>
  <c r="E85"/>
  <c r="M85" s="1"/>
  <c r="F292" l="1"/>
  <c r="N292" s="1"/>
  <c r="E292"/>
  <c r="M292" s="1"/>
  <c r="F142"/>
  <c r="N142" s="1"/>
  <c r="E142"/>
  <c r="M142" s="1"/>
  <c r="E148"/>
  <c r="M148" s="1"/>
  <c r="F148"/>
  <c r="N148" s="1"/>
  <c r="E72" i="51"/>
  <c r="D72"/>
  <c r="E66"/>
  <c r="D66"/>
  <c r="F597" i="44" l="1"/>
  <c r="E597"/>
  <c r="E522"/>
  <c r="F522"/>
  <c r="E372"/>
  <c r="F372"/>
  <c r="E297"/>
  <c r="F297"/>
  <c r="E147"/>
  <c r="F147"/>
  <c r="E149"/>
  <c r="M149" s="1"/>
  <c r="E146"/>
  <c r="M146" s="1"/>
  <c r="E126"/>
  <c r="M126" s="1"/>
  <c r="C175" i="43" l="1"/>
  <c r="F427" i="44" l="1"/>
  <c r="E352"/>
  <c r="E127"/>
  <c r="E427"/>
  <c r="F352"/>
  <c r="F127"/>
  <c r="E66" i="29"/>
  <c r="D66"/>
  <c r="E67" i="48" l="1"/>
  <c r="D67"/>
  <c r="G75" i="54" l="1"/>
  <c r="G41"/>
  <c r="E78" i="40" l="1"/>
  <c r="D78"/>
  <c r="L79" i="47" l="1"/>
  <c r="K79"/>
  <c r="Q65" l="1"/>
  <c r="P65"/>
  <c r="Q65" i="48"/>
  <c r="P65"/>
  <c r="Q62"/>
  <c r="P62"/>
  <c r="L47" i="47"/>
  <c r="K47"/>
  <c r="L70" i="40"/>
  <c r="F72" i="44" s="1"/>
  <c r="F605" l="1"/>
  <c r="F499"/>
  <c r="N499" s="1"/>
  <c r="E499"/>
  <c r="M499" s="1"/>
  <c r="F291"/>
  <c r="N291" s="1"/>
  <c r="E291"/>
  <c r="M291" s="1"/>
  <c r="E130"/>
  <c r="M130" s="1"/>
  <c r="F130"/>
  <c r="N130" s="1"/>
  <c r="L52" i="51"/>
  <c r="L53"/>
  <c r="K53"/>
  <c r="K52"/>
  <c r="F129" i="44"/>
  <c r="N129" s="1"/>
  <c r="E129"/>
  <c r="M129" s="1"/>
  <c r="A8" i="43" l="1"/>
  <c r="A7"/>
  <c r="A6"/>
  <c r="A5"/>
  <c r="A4"/>
  <c r="A3"/>
  <c r="C133"/>
  <c r="C134"/>
  <c r="C135"/>
  <c r="C136"/>
  <c r="C137"/>
  <c r="C138"/>
  <c r="C139"/>
  <c r="C140"/>
  <c r="C141"/>
  <c r="C142"/>
  <c r="C143"/>
  <c r="C144"/>
  <c r="C145"/>
  <c r="C146"/>
  <c r="C147"/>
  <c r="C148"/>
  <c r="C149"/>
  <c r="C150"/>
  <c r="C151"/>
  <c r="C152"/>
  <c r="C153"/>
  <c r="C154"/>
  <c r="C155"/>
  <c r="C156"/>
  <c r="C157"/>
  <c r="C158"/>
  <c r="C159"/>
  <c r="C160"/>
  <c r="C161"/>
  <c r="C162"/>
  <c r="C163"/>
  <c r="C164"/>
  <c r="C165"/>
  <c r="C166"/>
  <c r="C167"/>
  <c r="C168"/>
  <c r="C169"/>
  <c r="C170"/>
  <c r="C171"/>
  <c r="C172"/>
  <c r="C173"/>
  <c r="C174"/>
  <c r="C176"/>
  <c r="C177"/>
  <c r="C178"/>
  <c r="C179"/>
  <c r="C180"/>
  <c r="C181"/>
  <c r="C182"/>
  <c r="C183"/>
  <c r="C184"/>
  <c r="C185"/>
  <c r="C186"/>
  <c r="C187"/>
  <c r="C188"/>
  <c r="C189"/>
  <c r="C190"/>
  <c r="C191"/>
  <c r="C192"/>
  <c r="C193"/>
  <c r="C194"/>
  <c r="C195"/>
  <c r="C196"/>
  <c r="C197"/>
  <c r="C198"/>
  <c r="C199"/>
  <c r="C200"/>
  <c r="C201"/>
  <c r="C202"/>
  <c r="C203"/>
  <c r="C204"/>
  <c r="F150" i="44" l="1"/>
  <c r="E150"/>
  <c r="E428"/>
  <c r="F353"/>
  <c r="F428"/>
  <c r="E353"/>
  <c r="E128"/>
  <c r="F128"/>
  <c r="E151"/>
  <c r="F151"/>
  <c r="K71" i="51"/>
  <c r="H34" i="43" l="1"/>
  <c r="H35" s="1"/>
  <c r="G34"/>
  <c r="G35" s="1"/>
  <c r="F34"/>
  <c r="F35" s="1"/>
  <c r="E34"/>
  <c r="E35" s="1"/>
  <c r="D34"/>
  <c r="D35" s="1"/>
  <c r="C34"/>
  <c r="C35" s="1"/>
  <c r="B34"/>
  <c r="B35" s="1"/>
  <c r="I34"/>
  <c r="I35" s="1"/>
  <c r="C42" l="1"/>
  <c r="D42"/>
  <c r="E42"/>
  <c r="F42"/>
  <c r="G42"/>
  <c r="H42"/>
  <c r="I42"/>
  <c r="B42"/>
  <c r="L65" i="48" l="1"/>
  <c r="K65"/>
  <c r="Q63" l="1"/>
  <c r="P63"/>
  <c r="AS78" i="42"/>
  <c r="AT78"/>
  <c r="AF15"/>
  <c r="AF34"/>
  <c r="AF35"/>
  <c r="AF63"/>
  <c r="AF64"/>
  <c r="AF65"/>
  <c r="AF84"/>
  <c r="AD15"/>
  <c r="AD34"/>
  <c r="AD35"/>
  <c r="AD63"/>
  <c r="AD64"/>
  <c r="AD65"/>
  <c r="AD84"/>
  <c r="T29"/>
  <c r="T71"/>
  <c r="T78"/>
  <c r="R29"/>
  <c r="R71"/>
  <c r="R78"/>
  <c r="AF14"/>
  <c r="AD14"/>
  <c r="AZ14"/>
  <c r="AY14"/>
  <c r="BS14" s="1"/>
  <c r="BP78" l="1"/>
  <c r="K51" i="49"/>
  <c r="L51"/>
  <c r="K50"/>
  <c r="K38"/>
  <c r="E415" i="44" s="1"/>
  <c r="K39" i="49"/>
  <c r="E416" i="44" s="1"/>
  <c r="K40" i="49"/>
  <c r="E417" i="44" s="1"/>
  <c r="K41" i="49"/>
  <c r="E418" i="44" s="1"/>
  <c r="K42" i="49"/>
  <c r="E419" i="44" s="1"/>
  <c r="K43" i="49"/>
  <c r="E420" i="44" s="1"/>
  <c r="K44" i="49"/>
  <c r="E421" i="44" s="1"/>
  <c r="K45" i="49"/>
  <c r="E422" i="44" s="1"/>
  <c r="K46" i="49"/>
  <c r="E423" i="44" s="1"/>
  <c r="K47" i="49"/>
  <c r="E424" i="44" s="1"/>
  <c r="K48" i="49"/>
  <c r="E425" i="44" s="1"/>
  <c r="K49" i="49"/>
  <c r="E426" i="44" s="1"/>
  <c r="L50" i="49"/>
  <c r="V58" i="42"/>
  <c r="X58"/>
  <c r="K50" i="48"/>
  <c r="R56" i="42" l="1"/>
  <c r="E277" i="44"/>
  <c r="M277" s="1"/>
  <c r="AX56" i="42"/>
  <c r="AB56"/>
  <c r="AW52"/>
  <c r="Z52"/>
  <c r="AW48"/>
  <c r="Z48"/>
  <c r="Z44"/>
  <c r="Z55"/>
  <c r="AW55"/>
  <c r="Z51"/>
  <c r="AW51"/>
  <c r="Z47"/>
  <c r="AW56"/>
  <c r="Z56"/>
  <c r="Z54"/>
  <c r="Z50"/>
  <c r="AW50"/>
  <c r="Z46"/>
  <c r="AW46"/>
  <c r="AB57"/>
  <c r="AX57"/>
  <c r="Z53"/>
  <c r="AW49"/>
  <c r="Z49"/>
  <c r="Z45"/>
  <c r="AW45"/>
  <c r="Z57"/>
  <c r="AW57"/>
  <c r="BR57" s="1"/>
  <c r="L50" i="48"/>
  <c r="F277" i="44" s="1"/>
  <c r="N277" s="1"/>
  <c r="K15" i="47"/>
  <c r="K79" i="48"/>
  <c r="E306" i="44" s="1"/>
  <c r="M306" s="1"/>
  <c r="L79" i="48"/>
  <c r="F306" i="44" s="1"/>
  <c r="N306" s="1"/>
  <c r="L77" i="48"/>
  <c r="F304" i="44" s="1"/>
  <c r="N304" s="1"/>
  <c r="BR56" i="42" l="1"/>
  <c r="AD21"/>
  <c r="E467" i="44"/>
  <c r="M467" s="1"/>
  <c r="R85" i="42"/>
  <c r="T83"/>
  <c r="T56"/>
  <c r="T85"/>
  <c r="M70" i="52" l="1"/>
  <c r="AJ76" i="42" s="1"/>
  <c r="L70" i="52"/>
  <c r="AH76" i="42" s="1"/>
  <c r="K14" i="47" l="1"/>
  <c r="L14"/>
  <c r="L11"/>
  <c r="K11"/>
  <c r="AF17" i="42" l="1"/>
  <c r="F463" i="44"/>
  <c r="N463" s="1"/>
  <c r="AF20" i="42"/>
  <c r="F466" i="44"/>
  <c r="N466" s="1"/>
  <c r="AD20" i="42"/>
  <c r="E466" i="44"/>
  <c r="M466" s="1"/>
  <c r="AD17" i="42"/>
  <c r="E463" i="44"/>
  <c r="M463" s="1"/>
  <c r="M47" i="52"/>
  <c r="L47"/>
  <c r="M79"/>
  <c r="L79"/>
  <c r="L73"/>
  <c r="M73"/>
  <c r="M54"/>
  <c r="L54"/>
  <c r="M50"/>
  <c r="L50"/>
  <c r="M48"/>
  <c r="L48"/>
  <c r="M44"/>
  <c r="L44"/>
  <c r="M42"/>
  <c r="L42"/>
  <c r="M41"/>
  <c r="L41"/>
  <c r="L39"/>
  <c r="M53"/>
  <c r="L53"/>
  <c r="M52"/>
  <c r="L52"/>
  <c r="M51"/>
  <c r="L51"/>
  <c r="M49"/>
  <c r="L49"/>
  <c r="M46"/>
  <c r="L46"/>
  <c r="M45"/>
  <c r="L45"/>
  <c r="M43"/>
  <c r="L43"/>
  <c r="M40"/>
  <c r="L40"/>
  <c r="L37"/>
  <c r="M39"/>
  <c r="M38"/>
  <c r="L38"/>
  <c r="L24"/>
  <c r="M25"/>
  <c r="L25"/>
  <c r="M24"/>
  <c r="M18"/>
  <c r="L18"/>
  <c r="M17"/>
  <c r="L17"/>
  <c r="M76"/>
  <c r="M77"/>
  <c r="M78"/>
  <c r="L78"/>
  <c r="L77"/>
  <c r="L76"/>
  <c r="M75"/>
  <c r="L75"/>
  <c r="M74"/>
  <c r="L74"/>
  <c r="M71"/>
  <c r="M72"/>
  <c r="L72"/>
  <c r="L71"/>
  <c r="AH77" i="42" s="1"/>
  <c r="M69" i="52"/>
  <c r="M68"/>
  <c r="M67"/>
  <c r="M66"/>
  <c r="M65"/>
  <c r="M64"/>
  <c r="M63"/>
  <c r="M62"/>
  <c r="M61"/>
  <c r="AJ67" i="42" s="1"/>
  <c r="M60" i="52"/>
  <c r="M59"/>
  <c r="M58"/>
  <c r="M57"/>
  <c r="M56"/>
  <c r="M55"/>
  <c r="L56"/>
  <c r="L57"/>
  <c r="L58"/>
  <c r="L59"/>
  <c r="L60"/>
  <c r="L61"/>
  <c r="AH67" i="42" s="1"/>
  <c r="L62" i="52"/>
  <c r="L63"/>
  <c r="L64"/>
  <c r="L65"/>
  <c r="L66"/>
  <c r="L67"/>
  <c r="L68"/>
  <c r="L69"/>
  <c r="L55"/>
  <c r="M26"/>
  <c r="M27"/>
  <c r="M28"/>
  <c r="M29"/>
  <c r="M30"/>
  <c r="M31"/>
  <c r="M32"/>
  <c r="M33"/>
  <c r="M34"/>
  <c r="M35"/>
  <c r="M36"/>
  <c r="M37"/>
  <c r="L27"/>
  <c r="L28"/>
  <c r="L29"/>
  <c r="L30"/>
  <c r="L31"/>
  <c r="L32"/>
  <c r="L33"/>
  <c r="L34"/>
  <c r="L35"/>
  <c r="L36"/>
  <c r="L26"/>
  <c r="M19"/>
  <c r="M20"/>
  <c r="M21"/>
  <c r="M22"/>
  <c r="M23"/>
  <c r="L20"/>
  <c r="L21"/>
  <c r="L22"/>
  <c r="L23"/>
  <c r="L19"/>
  <c r="M8"/>
  <c r="R24" s="1"/>
  <c r="M9"/>
  <c r="M10"/>
  <c r="M11"/>
  <c r="M12"/>
  <c r="M13"/>
  <c r="M14"/>
  <c r="M15"/>
  <c r="M16"/>
  <c r="L9"/>
  <c r="L10"/>
  <c r="L11"/>
  <c r="L12"/>
  <c r="L13"/>
  <c r="L14"/>
  <c r="L15"/>
  <c r="L16"/>
  <c r="L8"/>
  <c r="Q24" s="1"/>
  <c r="L44" i="47"/>
  <c r="K44"/>
  <c r="K77"/>
  <c r="L77"/>
  <c r="K76"/>
  <c r="L76"/>
  <c r="L73"/>
  <c r="K73"/>
  <c r="K68"/>
  <c r="L70"/>
  <c r="K70"/>
  <c r="L68"/>
  <c r="K65"/>
  <c r="L65"/>
  <c r="K64"/>
  <c r="L64"/>
  <c r="L54"/>
  <c r="K54"/>
  <c r="L53"/>
  <c r="K53"/>
  <c r="K52"/>
  <c r="L52"/>
  <c r="L50"/>
  <c r="K50"/>
  <c r="K48"/>
  <c r="L48"/>
  <c r="AF53" i="42"/>
  <c r="AD53"/>
  <c r="L46" i="47"/>
  <c r="K46"/>
  <c r="L42"/>
  <c r="K42"/>
  <c r="K41"/>
  <c r="L41"/>
  <c r="K39"/>
  <c r="L39"/>
  <c r="K38"/>
  <c r="L38"/>
  <c r="K25"/>
  <c r="L75"/>
  <c r="K75"/>
  <c r="L74"/>
  <c r="K74"/>
  <c r="L72"/>
  <c r="K72"/>
  <c r="L71"/>
  <c r="K71"/>
  <c r="L69"/>
  <c r="K69"/>
  <c r="L67"/>
  <c r="K67"/>
  <c r="L66"/>
  <c r="Q64" s="1"/>
  <c r="K66"/>
  <c r="P64" s="1"/>
  <c r="L61"/>
  <c r="L62"/>
  <c r="L63"/>
  <c r="K63"/>
  <c r="K62"/>
  <c r="K61"/>
  <c r="L60"/>
  <c r="K60"/>
  <c r="L56"/>
  <c r="K56"/>
  <c r="L55"/>
  <c r="K55"/>
  <c r="L51"/>
  <c r="K51"/>
  <c r="L49"/>
  <c r="K49"/>
  <c r="L45"/>
  <c r="K45"/>
  <c r="L43"/>
  <c r="K43"/>
  <c r="L40"/>
  <c r="K40"/>
  <c r="L37"/>
  <c r="K37"/>
  <c r="L36"/>
  <c r="K36"/>
  <c r="L35"/>
  <c r="K35"/>
  <c r="K34"/>
  <c r="L34"/>
  <c r="L31"/>
  <c r="K31"/>
  <c r="L33"/>
  <c r="L32"/>
  <c r="K33"/>
  <c r="K32"/>
  <c r="L30"/>
  <c r="K30"/>
  <c r="L25"/>
  <c r="K22"/>
  <c r="L27"/>
  <c r="L26"/>
  <c r="K27"/>
  <c r="K26"/>
  <c r="L24"/>
  <c r="K24"/>
  <c r="L23"/>
  <c r="K23"/>
  <c r="K21"/>
  <c r="L22"/>
  <c r="L21"/>
  <c r="L20"/>
  <c r="L19"/>
  <c r="L18"/>
  <c r="K20"/>
  <c r="K19"/>
  <c r="K18"/>
  <c r="L17"/>
  <c r="K17"/>
  <c r="L16"/>
  <c r="K16"/>
  <c r="L15"/>
  <c r="L13"/>
  <c r="K13"/>
  <c r="L12"/>
  <c r="K12"/>
  <c r="L10"/>
  <c r="K10"/>
  <c r="AJ20" i="42" l="1"/>
  <c r="F541" i="44"/>
  <c r="N541" s="1"/>
  <c r="AJ43" i="42"/>
  <c r="F564" i="44"/>
  <c r="N564" s="1"/>
  <c r="AJ28" i="42"/>
  <c r="F549" i="44"/>
  <c r="N549" s="1"/>
  <c r="AJ21" i="42"/>
  <c r="F542" i="44"/>
  <c r="N542" s="1"/>
  <c r="AJ17" i="42"/>
  <c r="F538" i="44"/>
  <c r="N538" s="1"/>
  <c r="AJ26" i="42"/>
  <c r="F547" i="44"/>
  <c r="N547" s="1"/>
  <c r="AJ40" i="42"/>
  <c r="R22" i="52"/>
  <c r="F561" i="44"/>
  <c r="N561" s="1"/>
  <c r="AJ36" i="42"/>
  <c r="F557" i="44"/>
  <c r="N557" s="1"/>
  <c r="AJ32" i="42"/>
  <c r="F553" i="44"/>
  <c r="N553" s="1"/>
  <c r="AJ61" i="42"/>
  <c r="F582" i="44"/>
  <c r="N582" s="1"/>
  <c r="AJ65" i="42"/>
  <c r="F586" i="44"/>
  <c r="N586" s="1"/>
  <c r="AJ69" i="42"/>
  <c r="F590" i="44"/>
  <c r="N590" s="1"/>
  <c r="AJ73" i="42"/>
  <c r="R25" i="52"/>
  <c r="F594" i="44"/>
  <c r="N594" s="1"/>
  <c r="AJ80" i="42"/>
  <c r="F601" i="44"/>
  <c r="N601" s="1"/>
  <c r="AJ82" i="42"/>
  <c r="F603" i="44"/>
  <c r="N603" s="1"/>
  <c r="AJ24" i="42"/>
  <c r="F545" i="44"/>
  <c r="N545" s="1"/>
  <c r="AJ49" i="42"/>
  <c r="F570" i="44"/>
  <c r="N570" s="1"/>
  <c r="AJ52" i="42"/>
  <c r="F573" i="44"/>
  <c r="N573" s="1"/>
  <c r="AJ57" i="42"/>
  <c r="F578" i="44"/>
  <c r="N578" s="1"/>
  <c r="AJ59" i="42"/>
  <c r="F580" i="44"/>
  <c r="N580" s="1"/>
  <c r="AJ29" i="42"/>
  <c r="R58" i="52"/>
  <c r="F550" i="44"/>
  <c r="N550" s="1"/>
  <c r="AJ35" i="42"/>
  <c r="F556" i="44"/>
  <c r="N556" s="1"/>
  <c r="AJ62" i="42"/>
  <c r="F583" i="44"/>
  <c r="N583" s="1"/>
  <c r="AJ66" i="42"/>
  <c r="R60" i="52"/>
  <c r="F587" i="44"/>
  <c r="N587" s="1"/>
  <c r="AJ70" i="42"/>
  <c r="R62" i="52"/>
  <c r="F591" i="44"/>
  <c r="N591" s="1"/>
  <c r="AJ74" i="42"/>
  <c r="F595" i="44"/>
  <c r="N595" s="1"/>
  <c r="AJ78" i="42"/>
  <c r="F599" i="44"/>
  <c r="N599" s="1"/>
  <c r="AJ30" i="42"/>
  <c r="F551" i="44"/>
  <c r="N551" s="1"/>
  <c r="AJ48" i="42"/>
  <c r="F569" i="44"/>
  <c r="N569" s="1"/>
  <c r="AJ54" i="42"/>
  <c r="F575" i="44"/>
  <c r="N575" s="1"/>
  <c r="AJ60" i="42"/>
  <c r="F581" i="44"/>
  <c r="N581" s="1"/>
  <c r="AJ85" i="42"/>
  <c r="F606" i="44"/>
  <c r="N606" s="1"/>
  <c r="AJ25" i="42"/>
  <c r="F546" i="44"/>
  <c r="N546" s="1"/>
  <c r="AJ19" i="42"/>
  <c r="F540" i="44"/>
  <c r="N540" s="1"/>
  <c r="AJ42" i="42"/>
  <c r="F563" i="44"/>
  <c r="N563" s="1"/>
  <c r="AJ34" i="42"/>
  <c r="F555" i="44"/>
  <c r="N555" s="1"/>
  <c r="AJ63" i="42"/>
  <c r="F584" i="44"/>
  <c r="N584" s="1"/>
  <c r="AJ71" i="42"/>
  <c r="R63" i="52"/>
  <c r="F592" i="44"/>
  <c r="N592" s="1"/>
  <c r="AJ75" i="42"/>
  <c r="F596" i="44"/>
  <c r="N596" s="1"/>
  <c r="AJ81" i="42"/>
  <c r="F602" i="44"/>
  <c r="N602" s="1"/>
  <c r="R65" i="52"/>
  <c r="AJ23" i="42"/>
  <c r="F544" i="44"/>
  <c r="N544" s="1"/>
  <c r="AJ44" i="42"/>
  <c r="F565" i="44"/>
  <c r="N565" s="1"/>
  <c r="AJ46" i="42"/>
  <c r="F567" i="44"/>
  <c r="N567" s="1"/>
  <c r="AJ51" i="42"/>
  <c r="F572" i="44"/>
  <c r="N572" s="1"/>
  <c r="AJ55" i="42"/>
  <c r="R61" i="52"/>
  <c r="F576" i="44"/>
  <c r="N576" s="1"/>
  <c r="AJ58" i="42"/>
  <c r="F579" i="44"/>
  <c r="N579" s="1"/>
  <c r="AJ79" i="42"/>
  <c r="F600" i="44"/>
  <c r="N600" s="1"/>
  <c r="AJ16" i="42"/>
  <c r="F537" i="44"/>
  <c r="N537" s="1"/>
  <c r="AJ39" i="42"/>
  <c r="F560" i="44"/>
  <c r="N560" s="1"/>
  <c r="AJ15" i="42"/>
  <c r="F536" i="44"/>
  <c r="N536" s="1"/>
  <c r="AJ38" i="42"/>
  <c r="F559" i="44"/>
  <c r="N559" s="1"/>
  <c r="AJ22" i="42"/>
  <c r="F543" i="44"/>
  <c r="N543" s="1"/>
  <c r="AJ18" i="42"/>
  <c r="F539" i="44"/>
  <c r="N539" s="1"/>
  <c r="AJ27" i="42"/>
  <c r="F548" i="44"/>
  <c r="N548" s="1"/>
  <c r="AJ41" i="42"/>
  <c r="F562" i="44"/>
  <c r="N562" s="1"/>
  <c r="AJ37" i="42"/>
  <c r="R59" i="52"/>
  <c r="F558" i="44"/>
  <c r="N558" s="1"/>
  <c r="AJ33" i="42"/>
  <c r="F554" i="44"/>
  <c r="N554" s="1"/>
  <c r="AJ64" i="42"/>
  <c r="F585" i="44"/>
  <c r="N585" s="1"/>
  <c r="AJ68" i="42"/>
  <c r="F589" i="44"/>
  <c r="N589" s="1"/>
  <c r="AJ72" i="42"/>
  <c r="R64" i="52"/>
  <c r="F593" i="44"/>
  <c r="N593" s="1"/>
  <c r="AJ83" i="42"/>
  <c r="R23" i="52"/>
  <c r="F604" i="44"/>
  <c r="N604" s="1"/>
  <c r="AJ31" i="42"/>
  <c r="F552" i="44"/>
  <c r="N552" s="1"/>
  <c r="AJ45" i="42"/>
  <c r="F566" i="44"/>
  <c r="N566" s="1"/>
  <c r="AJ47" i="42"/>
  <c r="F568" i="44"/>
  <c r="N568" s="1"/>
  <c r="AJ50" i="42"/>
  <c r="F571" i="44"/>
  <c r="N571" s="1"/>
  <c r="AJ56" i="42"/>
  <c r="F577" i="44"/>
  <c r="N577" s="1"/>
  <c r="AJ53" i="42"/>
  <c r="F574" i="44"/>
  <c r="N574" s="1"/>
  <c r="AH21" i="42"/>
  <c r="E542" i="44"/>
  <c r="M542" s="1"/>
  <c r="AH17" i="42"/>
  <c r="E538" i="44"/>
  <c r="M538" s="1"/>
  <c r="AH25" i="42"/>
  <c r="E546" i="44"/>
  <c r="M546" s="1"/>
  <c r="AH26" i="42"/>
  <c r="E547" i="44"/>
  <c r="M547" s="1"/>
  <c r="AH41" i="42"/>
  <c r="E562" i="44"/>
  <c r="M562" s="1"/>
  <c r="AH37" i="42"/>
  <c r="Q59" i="52"/>
  <c r="E558" i="44"/>
  <c r="M558" s="1"/>
  <c r="AH33" i="42"/>
  <c r="E554" i="44"/>
  <c r="M554" s="1"/>
  <c r="AH73" i="42"/>
  <c r="Q25" i="52"/>
  <c r="E594" i="44"/>
  <c r="M594" s="1"/>
  <c r="AH69" i="42"/>
  <c r="E590" i="44"/>
  <c r="M590" s="1"/>
  <c r="AH65" i="42"/>
  <c r="E586" i="44"/>
  <c r="M586" s="1"/>
  <c r="AH78" i="42"/>
  <c r="E599" i="44"/>
  <c r="M599" s="1"/>
  <c r="AH83" i="42"/>
  <c r="Q23" i="52"/>
  <c r="E604" i="44"/>
  <c r="M604" s="1"/>
  <c r="AH30" i="42"/>
  <c r="E551" i="44"/>
  <c r="M551" s="1"/>
  <c r="AH43" i="42"/>
  <c r="E564" i="44"/>
  <c r="M564" s="1"/>
  <c r="AH48" i="42"/>
  <c r="E569" i="44"/>
  <c r="M569" s="1"/>
  <c r="AH54" i="42"/>
  <c r="E575" i="44"/>
  <c r="M575" s="1"/>
  <c r="AH60" i="42"/>
  <c r="E581" i="44"/>
  <c r="M581" s="1"/>
  <c r="AH85" i="42"/>
  <c r="E606" i="44"/>
  <c r="M606" s="1"/>
  <c r="AH20" i="42"/>
  <c r="E541" i="44"/>
  <c r="M541" s="1"/>
  <c r="AH16" i="42"/>
  <c r="E537" i="44"/>
  <c r="M537" s="1"/>
  <c r="AH29" i="42"/>
  <c r="Q58" i="52"/>
  <c r="E550" i="44"/>
  <c r="M550" s="1"/>
  <c r="AH40" i="42"/>
  <c r="Q22" i="52"/>
  <c r="E561" i="44"/>
  <c r="M561" s="1"/>
  <c r="AH36" i="42"/>
  <c r="E557" i="44"/>
  <c r="M557" s="1"/>
  <c r="AH61" i="42"/>
  <c r="E582" i="44"/>
  <c r="M582" s="1"/>
  <c r="AH72" i="42"/>
  <c r="Q64" i="52"/>
  <c r="E593" i="44"/>
  <c r="M593" s="1"/>
  <c r="AH68" i="42"/>
  <c r="E589" i="44"/>
  <c r="M589" s="1"/>
  <c r="AH64" i="42"/>
  <c r="E585" i="44"/>
  <c r="M585" s="1"/>
  <c r="AH81" i="42"/>
  <c r="E602" i="44"/>
  <c r="M602" s="1"/>
  <c r="Q65" i="52"/>
  <c r="AH23" i="42"/>
  <c r="E544" i="44"/>
  <c r="M544" s="1"/>
  <c r="AH44" i="42"/>
  <c r="E565" i="44"/>
  <c r="M565" s="1"/>
  <c r="AH46" i="42"/>
  <c r="E567" i="44"/>
  <c r="M567" s="1"/>
  <c r="AH51" i="42"/>
  <c r="E572" i="44"/>
  <c r="M572" s="1"/>
  <c r="AH55" i="42"/>
  <c r="E576" i="44"/>
  <c r="M576" s="1"/>
  <c r="AH58" i="42"/>
  <c r="E579" i="44"/>
  <c r="M579" s="1"/>
  <c r="AH45" i="42"/>
  <c r="E566" i="44"/>
  <c r="M566" s="1"/>
  <c r="AH19" i="42"/>
  <c r="E540" i="44"/>
  <c r="M540" s="1"/>
  <c r="AH15" i="42"/>
  <c r="E536" i="44"/>
  <c r="M536" s="1"/>
  <c r="AH28" i="42"/>
  <c r="E549" i="44"/>
  <c r="M549" s="1"/>
  <c r="AH32" i="42"/>
  <c r="E553" i="44"/>
  <c r="M553" s="1"/>
  <c r="AH39" i="42"/>
  <c r="E560" i="44"/>
  <c r="M560" s="1"/>
  <c r="AH35" i="42"/>
  <c r="E556" i="44"/>
  <c r="M556" s="1"/>
  <c r="AH75" i="42"/>
  <c r="E596" i="44"/>
  <c r="M596" s="1"/>
  <c r="AH71" i="42"/>
  <c r="Q63" i="52"/>
  <c r="E592" i="44"/>
  <c r="M592" s="1"/>
  <c r="AH63" i="42"/>
  <c r="E584" i="44"/>
  <c r="M584" s="1"/>
  <c r="AH31" i="42"/>
  <c r="E552" i="44"/>
  <c r="M552" s="1"/>
  <c r="AH47" i="42"/>
  <c r="E568" i="44"/>
  <c r="M568" s="1"/>
  <c r="AH50" i="42"/>
  <c r="E571" i="44"/>
  <c r="M571" s="1"/>
  <c r="AH56" i="42"/>
  <c r="Q61" i="52"/>
  <c r="E577" i="44"/>
  <c r="M577" s="1"/>
  <c r="AH53" i="42"/>
  <c r="E574" i="44"/>
  <c r="M574" s="1"/>
  <c r="AH22" i="42"/>
  <c r="E543" i="44"/>
  <c r="M543" s="1"/>
  <c r="AH18" i="42"/>
  <c r="E539" i="44"/>
  <c r="M539" s="1"/>
  <c r="AH27" i="42"/>
  <c r="E548" i="44"/>
  <c r="M548" s="1"/>
  <c r="AH42" i="42"/>
  <c r="E563" i="44"/>
  <c r="M563" s="1"/>
  <c r="AH38" i="42"/>
  <c r="E559" i="44"/>
  <c r="M559" s="1"/>
  <c r="AH34" i="42"/>
  <c r="E555" i="44"/>
  <c r="M555" s="1"/>
  <c r="AH74" i="42"/>
  <c r="E595" i="44"/>
  <c r="M595" s="1"/>
  <c r="AH70" i="42"/>
  <c r="Q62" i="52"/>
  <c r="E591" i="44"/>
  <c r="M591" s="1"/>
  <c r="AH66" i="42"/>
  <c r="Q60" i="52"/>
  <c r="E587" i="44"/>
  <c r="M587" s="1"/>
  <c r="AH62" i="42"/>
  <c r="E583" i="44"/>
  <c r="M583" s="1"/>
  <c r="AH80" i="42"/>
  <c r="E601" i="44"/>
  <c r="M601" s="1"/>
  <c r="AH82" i="42"/>
  <c r="E603" i="44"/>
  <c r="M603" s="1"/>
  <c r="AH24" i="42"/>
  <c r="E545" i="44"/>
  <c r="M545" s="1"/>
  <c r="AH49" i="42"/>
  <c r="E570" i="44"/>
  <c r="M570" s="1"/>
  <c r="AH52" i="42"/>
  <c r="E573" i="44"/>
  <c r="M573" s="1"/>
  <c r="AH57" i="42"/>
  <c r="E578" i="44"/>
  <c r="M578" s="1"/>
  <c r="AH59" i="42"/>
  <c r="E580" i="44"/>
  <c r="M580" s="1"/>
  <c r="AH79" i="42"/>
  <c r="E600" i="44"/>
  <c r="M600" s="1"/>
  <c r="AF23" i="42"/>
  <c r="F469" i="44"/>
  <c r="N469" s="1"/>
  <c r="AF28" i="42"/>
  <c r="F474" i="44"/>
  <c r="N474" s="1"/>
  <c r="AD36" i="42"/>
  <c r="E482" i="44"/>
  <c r="M482" s="1"/>
  <c r="AF38" i="42"/>
  <c r="F484" i="44"/>
  <c r="N484" s="1"/>
  <c r="AD46" i="42"/>
  <c r="E492" i="44"/>
  <c r="M492" s="1"/>
  <c r="AD51" i="42"/>
  <c r="E497" i="44"/>
  <c r="M497" s="1"/>
  <c r="AD67" i="42"/>
  <c r="E513" i="44"/>
  <c r="M513" s="1"/>
  <c r="AF68" i="42"/>
  <c r="F514" i="44"/>
  <c r="N514" s="1"/>
  <c r="AD80" i="42"/>
  <c r="E526" i="44"/>
  <c r="M526" s="1"/>
  <c r="AF48" i="42"/>
  <c r="F494" i="44"/>
  <c r="N494" s="1"/>
  <c r="AF59" i="42"/>
  <c r="F505" i="44"/>
  <c r="N505" s="1"/>
  <c r="AD83" i="42"/>
  <c r="E529" i="44"/>
  <c r="M529" s="1"/>
  <c r="AD24" i="42"/>
  <c r="E470" i="44"/>
  <c r="M470" s="1"/>
  <c r="AF25" i="42"/>
  <c r="F471" i="44"/>
  <c r="N471" s="1"/>
  <c r="AF33" i="42"/>
  <c r="F479" i="44"/>
  <c r="N479" s="1"/>
  <c r="AF39" i="42"/>
  <c r="F485" i="44"/>
  <c r="N485" s="1"/>
  <c r="AF42" i="42"/>
  <c r="F488" i="44"/>
  <c r="N488" s="1"/>
  <c r="AF46" i="42"/>
  <c r="F492" i="44"/>
  <c r="N492" s="1"/>
  <c r="AF62" i="42"/>
  <c r="F508" i="44"/>
  <c r="N508" s="1"/>
  <c r="AF77" i="42"/>
  <c r="F523" i="44"/>
  <c r="N523" s="1"/>
  <c r="AD16" i="42"/>
  <c r="E462" i="44"/>
  <c r="M462" s="1"/>
  <c r="AD19" i="42"/>
  <c r="E465" i="44"/>
  <c r="M465" s="1"/>
  <c r="AF22" i="42"/>
  <c r="F468" i="44"/>
  <c r="N468" s="1"/>
  <c r="AF26" i="42"/>
  <c r="F472" i="44"/>
  <c r="N472" s="1"/>
  <c r="AD29" i="42"/>
  <c r="P58" i="47"/>
  <c r="E475" i="44"/>
  <c r="M475" s="1"/>
  <c r="AD28" i="42"/>
  <c r="E474" i="44"/>
  <c r="M474" s="1"/>
  <c r="AD38" i="42"/>
  <c r="E484" i="44"/>
  <c r="M484" s="1"/>
  <c r="AD41" i="42"/>
  <c r="E487" i="44"/>
  <c r="M487" s="1"/>
  <c r="AD43" i="42"/>
  <c r="E489" i="44"/>
  <c r="M489" s="1"/>
  <c r="AD55" i="42"/>
  <c r="E501" i="44"/>
  <c r="M501" s="1"/>
  <c r="AD61" i="42"/>
  <c r="E507" i="44"/>
  <c r="M507" s="1"/>
  <c r="AD69" i="42"/>
  <c r="E515" i="44"/>
  <c r="M515" s="1"/>
  <c r="AD72" i="42"/>
  <c r="E518" i="44"/>
  <c r="M518" s="1"/>
  <c r="AD78" i="42"/>
  <c r="E524" i="44"/>
  <c r="M524" s="1"/>
  <c r="AD44" i="42"/>
  <c r="E490" i="44"/>
  <c r="M490" s="1"/>
  <c r="AD47" i="42"/>
  <c r="E493" i="44"/>
  <c r="M493" s="1"/>
  <c r="AF52" i="42"/>
  <c r="F498" i="44"/>
  <c r="N498" s="1"/>
  <c r="AD58" i="42"/>
  <c r="E504" i="44"/>
  <c r="M504" s="1"/>
  <c r="AD71" i="42"/>
  <c r="P63" i="47"/>
  <c r="E517" i="44"/>
  <c r="M517" s="1"/>
  <c r="AF16" i="42"/>
  <c r="F462" i="44"/>
  <c r="N462" s="1"/>
  <c r="AF19" i="42"/>
  <c r="F465" i="44"/>
  <c r="N465" s="1"/>
  <c r="AD23" i="42"/>
  <c r="E469" i="44"/>
  <c r="M469" s="1"/>
  <c r="AD26" i="42"/>
  <c r="E472" i="44"/>
  <c r="M472" s="1"/>
  <c r="AF27" i="42"/>
  <c r="F473" i="44"/>
  <c r="N473" s="1"/>
  <c r="AF29" i="42"/>
  <c r="Q58" i="47"/>
  <c r="F475" i="44"/>
  <c r="N475" s="1"/>
  <c r="AD33" i="42"/>
  <c r="E479" i="44"/>
  <c r="M479" s="1"/>
  <c r="AF31" i="42"/>
  <c r="F477" i="44"/>
  <c r="N477" s="1"/>
  <c r="AD39" i="42"/>
  <c r="E485" i="44"/>
  <c r="M485" s="1"/>
  <c r="AF37" i="42"/>
  <c r="Q59" i="47"/>
  <c r="F483" i="44"/>
  <c r="N483" s="1"/>
  <c r="AF41" i="42"/>
  <c r="F487" i="44"/>
  <c r="N487" s="1"/>
  <c r="AF43" i="42"/>
  <c r="F489" i="44"/>
  <c r="N489" s="1"/>
  <c r="AF49" i="42"/>
  <c r="F495" i="44"/>
  <c r="N495" s="1"/>
  <c r="AF55" i="42"/>
  <c r="Q61" i="47"/>
  <c r="F501" i="44"/>
  <c r="N501" s="1"/>
  <c r="AF61" i="42"/>
  <c r="F507" i="44"/>
  <c r="N507" s="1"/>
  <c r="AF66" i="42"/>
  <c r="Q60" i="47"/>
  <c r="F512" i="44"/>
  <c r="N512" s="1"/>
  <c r="AF69" i="42"/>
  <c r="F515" i="44"/>
  <c r="N515" s="1"/>
  <c r="AF72" i="42"/>
  <c r="F518" i="44"/>
  <c r="N518" s="1"/>
  <c r="AF75" i="42"/>
  <c r="F521" i="44"/>
  <c r="N521" s="1"/>
  <c r="AF78" i="42"/>
  <c r="F524" i="44"/>
  <c r="N524" s="1"/>
  <c r="AF81" i="42"/>
  <c r="F527" i="44"/>
  <c r="N527" s="1"/>
  <c r="AF45" i="42"/>
  <c r="F491" i="44"/>
  <c r="N491" s="1"/>
  <c r="AD48" i="42"/>
  <c r="E494" i="44"/>
  <c r="M494" s="1"/>
  <c r="AD56" i="42"/>
  <c r="P61" i="47"/>
  <c r="E502" i="44"/>
  <c r="M502" s="1"/>
  <c r="AD59" i="42"/>
  <c r="E505" i="44"/>
  <c r="M505" s="1"/>
  <c r="AF70" i="42"/>
  <c r="Q62" i="47"/>
  <c r="F516" i="44"/>
  <c r="N516" s="1"/>
  <c r="AF74" i="42"/>
  <c r="F520" i="44"/>
  <c r="N520" s="1"/>
  <c r="AD79" i="42"/>
  <c r="E525" i="44"/>
  <c r="M525" s="1"/>
  <c r="AF83" i="42"/>
  <c r="F529" i="44"/>
  <c r="N529" s="1"/>
  <c r="AD50" i="42"/>
  <c r="E496" i="44"/>
  <c r="M496" s="1"/>
  <c r="AF21" i="42"/>
  <c r="F467" i="44"/>
  <c r="N467" s="1"/>
  <c r="AF32" i="42"/>
  <c r="F478" i="44"/>
  <c r="N478" s="1"/>
  <c r="AD42" i="42"/>
  <c r="E488" i="44"/>
  <c r="M488" s="1"/>
  <c r="AD62" i="42"/>
  <c r="E508" i="44"/>
  <c r="M508" s="1"/>
  <c r="AD73" i="42"/>
  <c r="P25" i="47"/>
  <c r="E519" i="44"/>
  <c r="M519" s="1"/>
  <c r="AD31" i="42"/>
  <c r="E477" i="44"/>
  <c r="M477" s="1"/>
  <c r="AF56" i="42"/>
  <c r="F502" i="44"/>
  <c r="N502" s="1"/>
  <c r="AF79" i="42"/>
  <c r="F525" i="44"/>
  <c r="N525" s="1"/>
  <c r="AD22" i="42"/>
  <c r="E468" i="44"/>
  <c r="M468" s="1"/>
  <c r="AD27" i="42"/>
  <c r="E473" i="44"/>
  <c r="M473" s="1"/>
  <c r="AF36" i="42"/>
  <c r="F482" i="44"/>
  <c r="N482" s="1"/>
  <c r="AF51" i="42"/>
  <c r="F497" i="44"/>
  <c r="N497" s="1"/>
  <c r="AD68" i="42"/>
  <c r="E514" i="44"/>
  <c r="M514" s="1"/>
  <c r="AF73" i="42"/>
  <c r="Q25" i="47"/>
  <c r="F519" i="44"/>
  <c r="N519" s="1"/>
  <c r="AF44" i="42"/>
  <c r="F490" i="44"/>
  <c r="N490" s="1"/>
  <c r="AF47" i="42"/>
  <c r="F493" i="44"/>
  <c r="N493" s="1"/>
  <c r="AD52" i="42"/>
  <c r="E498" i="44"/>
  <c r="M498" s="1"/>
  <c r="AF54" i="42"/>
  <c r="F500" i="44"/>
  <c r="N500" s="1"/>
  <c r="AF58" i="42"/>
  <c r="F504" i="44"/>
  <c r="N504" s="1"/>
  <c r="AD60" i="42"/>
  <c r="E506" i="44"/>
  <c r="M506" s="1"/>
  <c r="AF71" i="42"/>
  <c r="Q63" i="47"/>
  <c r="F517" i="44"/>
  <c r="N517" s="1"/>
  <c r="AF82" i="42"/>
  <c r="F528" i="44"/>
  <c r="N528" s="1"/>
  <c r="AD85" i="42"/>
  <c r="E531" i="44"/>
  <c r="M531" s="1"/>
  <c r="AD18" i="42"/>
  <c r="E464" i="44"/>
  <c r="M464" s="1"/>
  <c r="AF24" i="42"/>
  <c r="F470" i="44"/>
  <c r="N470" s="1"/>
  <c r="AD30" i="42"/>
  <c r="E476" i="44"/>
  <c r="M476" s="1"/>
  <c r="AF40" i="42"/>
  <c r="Q22" i="47"/>
  <c r="F486" i="44"/>
  <c r="N486" s="1"/>
  <c r="AD57" i="42"/>
  <c r="E503" i="44"/>
  <c r="M503" s="1"/>
  <c r="AD77" i="42"/>
  <c r="E523" i="44"/>
  <c r="M523" s="1"/>
  <c r="AD45" i="42"/>
  <c r="E491" i="44"/>
  <c r="M491" s="1"/>
  <c r="AD70" i="42"/>
  <c r="P62" i="47"/>
  <c r="E516" i="44"/>
  <c r="M516" s="1"/>
  <c r="AF50" i="42"/>
  <c r="F496" i="44"/>
  <c r="N496" s="1"/>
  <c r="AF18" i="42"/>
  <c r="F464" i="44"/>
  <c r="N464" s="1"/>
  <c r="AF30" i="42"/>
  <c r="F476" i="44"/>
  <c r="N476" s="1"/>
  <c r="AD40" i="42"/>
  <c r="P22" i="47"/>
  <c r="E486" i="44"/>
  <c r="M486" s="1"/>
  <c r="AF57" i="42"/>
  <c r="F503" i="44"/>
  <c r="N503" s="1"/>
  <c r="AF67" i="42"/>
  <c r="F513" i="44"/>
  <c r="N513" s="1"/>
  <c r="AF80" i="42"/>
  <c r="F526" i="44"/>
  <c r="N526" s="1"/>
  <c r="AD25" i="42"/>
  <c r="E471" i="44"/>
  <c r="M471" s="1"/>
  <c r="AD32" i="42"/>
  <c r="E478" i="44"/>
  <c r="M478" s="1"/>
  <c r="AD37" i="42"/>
  <c r="P59" i="47"/>
  <c r="E483" i="44"/>
  <c r="M483" s="1"/>
  <c r="AD49" i="42"/>
  <c r="E495" i="44"/>
  <c r="M495" s="1"/>
  <c r="AD66" i="42"/>
  <c r="P60" i="47"/>
  <c r="E512" i="44"/>
  <c r="M512" s="1"/>
  <c r="AD75" i="42"/>
  <c r="E521" i="44"/>
  <c r="M521" s="1"/>
  <c r="AD81" i="42"/>
  <c r="E527" i="44"/>
  <c r="M527" s="1"/>
  <c r="AD54" i="42"/>
  <c r="E500" i="44"/>
  <c r="M500" s="1"/>
  <c r="AF60" i="42"/>
  <c r="F506" i="44"/>
  <c r="N506" s="1"/>
  <c r="AD74" i="42"/>
  <c r="E520" i="44"/>
  <c r="M520" s="1"/>
  <c r="AD82" i="42"/>
  <c r="E528" i="44"/>
  <c r="M528" s="1"/>
  <c r="AF85" i="42"/>
  <c r="F531" i="44"/>
  <c r="N531" s="1"/>
  <c r="AJ14" i="42"/>
  <c r="F535" i="44"/>
  <c r="N535" s="1"/>
  <c r="AH14" i="42"/>
  <c r="E535" i="44"/>
  <c r="M535" s="1"/>
  <c r="AD76" i="42"/>
  <c r="AF76"/>
  <c r="K8" i="51"/>
  <c r="P24" s="1"/>
  <c r="L8"/>
  <c r="J516" i="44" l="1"/>
  <c r="L14" i="42"/>
  <c r="Q24" i="51"/>
  <c r="F85" i="44"/>
  <c r="N85" s="1"/>
  <c r="K549"/>
  <c r="J549"/>
  <c r="J14" i="42"/>
  <c r="J589" i="44"/>
  <c r="K589"/>
  <c r="J590"/>
  <c r="K590"/>
  <c r="R9" i="52"/>
  <c r="Q9"/>
  <c r="R8"/>
  <c r="Q8"/>
  <c r="R53"/>
  <c r="Q53"/>
  <c r="R50"/>
  <c r="Q50"/>
  <c r="R49"/>
  <c r="Q49"/>
  <c r="R48"/>
  <c r="Q48"/>
  <c r="R47"/>
  <c r="Q47"/>
  <c r="R46"/>
  <c r="Q46"/>
  <c r="R45"/>
  <c r="Q45"/>
  <c r="R44"/>
  <c r="Q44"/>
  <c r="R40"/>
  <c r="Q40"/>
  <c r="R36"/>
  <c r="Q36"/>
  <c r="R33"/>
  <c r="Q33"/>
  <c r="R31"/>
  <c r="Q31"/>
  <c r="R39"/>
  <c r="Q39"/>
  <c r="R30"/>
  <c r="Q30"/>
  <c r="R21"/>
  <c r="Q21"/>
  <c r="R38"/>
  <c r="Q38"/>
  <c r="R20"/>
  <c r="Q20"/>
  <c r="R35"/>
  <c r="Q35"/>
  <c r="R19"/>
  <c r="Q19"/>
  <c r="R28"/>
  <c r="Q28"/>
  <c r="R18"/>
  <c r="Q18"/>
  <c r="R34"/>
  <c r="Q34"/>
  <c r="R17"/>
  <c r="Q17"/>
  <c r="R29"/>
  <c r="Q29"/>
  <c r="R16"/>
  <c r="Q16"/>
  <c r="R32"/>
  <c r="Q32"/>
  <c r="R15"/>
  <c r="Q15"/>
  <c r="R37"/>
  <c r="Q37"/>
  <c r="R27"/>
  <c r="Q27"/>
  <c r="R12"/>
  <c r="Q12"/>
  <c r="R43"/>
  <c r="Q43"/>
  <c r="R11"/>
  <c r="Q11"/>
  <c r="R42"/>
  <c r="Q42"/>
  <c r="R10"/>
  <c r="Q10"/>
  <c r="R41"/>
  <c r="Q41"/>
  <c r="K591" i="44" l="1"/>
  <c r="J591"/>
  <c r="K588"/>
  <c r="J588"/>
  <c r="K586"/>
  <c r="K585"/>
  <c r="J586"/>
  <c r="J585"/>
  <c r="K552" l="1"/>
  <c r="J552"/>
  <c r="L79" i="50"/>
  <c r="F231" i="44" s="1"/>
  <c r="K79" i="50"/>
  <c r="E231" i="44" s="1"/>
  <c r="L78" i="50"/>
  <c r="K78"/>
  <c r="P65" s="1"/>
  <c r="L77"/>
  <c r="K77"/>
  <c r="L76"/>
  <c r="F228" i="44" s="1"/>
  <c r="K76" i="50"/>
  <c r="E228" i="44" s="1"/>
  <c r="L75" i="50"/>
  <c r="F227" i="44" s="1"/>
  <c r="K75" i="50"/>
  <c r="E227" i="44" s="1"/>
  <c r="L74" i="50"/>
  <c r="F226" i="44" s="1"/>
  <c r="K74" i="50"/>
  <c r="E226" i="44" s="1"/>
  <c r="L73" i="50"/>
  <c r="F225" i="44" s="1"/>
  <c r="K73" i="50"/>
  <c r="E225" i="44" s="1"/>
  <c r="L72" i="50"/>
  <c r="F224" i="44" s="1"/>
  <c r="K72" i="50"/>
  <c r="E224" i="44" s="1"/>
  <c r="L71" i="50"/>
  <c r="K71"/>
  <c r="E223" i="44" s="1"/>
  <c r="L70" i="50"/>
  <c r="K70"/>
  <c r="L69"/>
  <c r="F221" i="44" s="1"/>
  <c r="K69" i="50"/>
  <c r="E221" i="44" s="1"/>
  <c r="L68" i="50"/>
  <c r="F220" i="44" s="1"/>
  <c r="K68" i="50"/>
  <c r="E220" i="44" s="1"/>
  <c r="L67" i="50"/>
  <c r="K67"/>
  <c r="L66"/>
  <c r="K66"/>
  <c r="L65"/>
  <c r="K65"/>
  <c r="P63" s="1"/>
  <c r="L64"/>
  <c r="K64"/>
  <c r="L63"/>
  <c r="F215" i="44" s="1"/>
  <c r="K63" i="50"/>
  <c r="E215" i="44" s="1"/>
  <c r="L62" i="50"/>
  <c r="F214" i="44" s="1"/>
  <c r="K62" i="50"/>
  <c r="E214" i="44" s="1"/>
  <c r="L61" i="50"/>
  <c r="F213" i="44" s="1"/>
  <c r="K61" i="50"/>
  <c r="E213" i="44" s="1"/>
  <c r="L60" i="50"/>
  <c r="K60"/>
  <c r="L59"/>
  <c r="F211" i="44" s="1"/>
  <c r="K59" i="50"/>
  <c r="E211" i="44" s="1"/>
  <c r="L58" i="50"/>
  <c r="F210" i="44" s="1"/>
  <c r="K58" i="50"/>
  <c r="E210" i="44" s="1"/>
  <c r="L57" i="50"/>
  <c r="F209" i="44" s="1"/>
  <c r="K57" i="50"/>
  <c r="E209" i="44" s="1"/>
  <c r="L56" i="50"/>
  <c r="F208" i="44" s="1"/>
  <c r="K56" i="50"/>
  <c r="E208" i="44" s="1"/>
  <c r="L55" i="50"/>
  <c r="F207" i="44" s="1"/>
  <c r="K55" i="50"/>
  <c r="E207" i="44" s="1"/>
  <c r="L54" i="50"/>
  <c r="F206" i="44" s="1"/>
  <c r="K54" i="50"/>
  <c r="E206" i="44" s="1"/>
  <c r="L53" i="50"/>
  <c r="F205" i="44" s="1"/>
  <c r="K53" i="50"/>
  <c r="E205" i="44" s="1"/>
  <c r="L52" i="50"/>
  <c r="F204" i="44" s="1"/>
  <c r="K52" i="50"/>
  <c r="E204" i="44" s="1"/>
  <c r="L51" i="50"/>
  <c r="K51"/>
  <c r="L50"/>
  <c r="P56" i="42" s="1"/>
  <c r="K50" i="50"/>
  <c r="L49"/>
  <c r="K49"/>
  <c r="E201" i="44" s="1"/>
  <c r="L48" i="50"/>
  <c r="F200" i="44" s="1"/>
  <c r="K48" i="50"/>
  <c r="E200" i="44" s="1"/>
  <c r="L47" i="50"/>
  <c r="F199" i="44" s="1"/>
  <c r="K47" i="50"/>
  <c r="E199" i="44" s="1"/>
  <c r="L46" i="50"/>
  <c r="F198" i="44" s="1"/>
  <c r="K46" i="50"/>
  <c r="E198" i="44" s="1"/>
  <c r="L45" i="50"/>
  <c r="F197" i="44" s="1"/>
  <c r="K45" i="50"/>
  <c r="E197" i="44" s="1"/>
  <c r="L44" i="50"/>
  <c r="F196" i="44" s="1"/>
  <c r="K44" i="50"/>
  <c r="E196" i="44" s="1"/>
  <c r="L43" i="50"/>
  <c r="F195" i="44" s="1"/>
  <c r="K43" i="50"/>
  <c r="E195" i="44" s="1"/>
  <c r="L42" i="50"/>
  <c r="F194" i="44" s="1"/>
  <c r="K42" i="50"/>
  <c r="E194" i="44" s="1"/>
  <c r="L41" i="50"/>
  <c r="F193" i="44" s="1"/>
  <c r="K41" i="50"/>
  <c r="E193" i="44" s="1"/>
  <c r="L40" i="50"/>
  <c r="F192" i="44" s="1"/>
  <c r="K40" i="50"/>
  <c r="E192" i="44" s="1"/>
  <c r="L39" i="50"/>
  <c r="F191" i="44" s="1"/>
  <c r="K39" i="50"/>
  <c r="E191" i="44" s="1"/>
  <c r="L38" i="50"/>
  <c r="F190" i="44" s="1"/>
  <c r="K38" i="50"/>
  <c r="E190" i="44" s="1"/>
  <c r="L37" i="50"/>
  <c r="F189" i="44" s="1"/>
  <c r="K37" i="50"/>
  <c r="E189" i="44" s="1"/>
  <c r="L36" i="50"/>
  <c r="F188" i="44" s="1"/>
  <c r="K36" i="50"/>
  <c r="E188" i="44" s="1"/>
  <c r="L35" i="50"/>
  <c r="F187" i="44" s="1"/>
  <c r="K35" i="50"/>
  <c r="E187" i="44" s="1"/>
  <c r="L34" i="50"/>
  <c r="K34"/>
  <c r="L33"/>
  <c r="F185" i="44" s="1"/>
  <c r="K33" i="50"/>
  <c r="E185" i="44" s="1"/>
  <c r="L32" i="50"/>
  <c r="F184" i="44" s="1"/>
  <c r="K32" i="50"/>
  <c r="E184" i="44" s="1"/>
  <c r="L31" i="50"/>
  <c r="K31"/>
  <c r="L30"/>
  <c r="F182" i="44" s="1"/>
  <c r="K30" i="50"/>
  <c r="E182" i="44" s="1"/>
  <c r="L29" i="50"/>
  <c r="F181" i="44" s="1"/>
  <c r="K29" i="50"/>
  <c r="E181" i="44" s="1"/>
  <c r="L28" i="50"/>
  <c r="F180" i="44" s="1"/>
  <c r="K28" i="50"/>
  <c r="E180" i="44" s="1"/>
  <c r="L27" i="50"/>
  <c r="F179" i="44" s="1"/>
  <c r="K27" i="50"/>
  <c r="E179" i="44" s="1"/>
  <c r="L26" i="50"/>
  <c r="F178" i="44" s="1"/>
  <c r="K26" i="50"/>
  <c r="E178" i="44" s="1"/>
  <c r="L25" i="50"/>
  <c r="F177" i="44" s="1"/>
  <c r="K25" i="50"/>
  <c r="E177" i="44" s="1"/>
  <c r="L24" i="50"/>
  <c r="F176" i="44" s="1"/>
  <c r="K24" i="50"/>
  <c r="E176" i="44" s="1"/>
  <c r="L23" i="50"/>
  <c r="K23"/>
  <c r="L22"/>
  <c r="F174" i="44" s="1"/>
  <c r="K22" i="50"/>
  <c r="E174" i="44" s="1"/>
  <c r="L21" i="50"/>
  <c r="F173" i="44" s="1"/>
  <c r="K21" i="50"/>
  <c r="E173" i="44" s="1"/>
  <c r="L20" i="50"/>
  <c r="F172" i="44" s="1"/>
  <c r="K20" i="50"/>
  <c r="E172" i="44" s="1"/>
  <c r="L19" i="50"/>
  <c r="F171" i="44" s="1"/>
  <c r="K19" i="50"/>
  <c r="E171" i="44" s="1"/>
  <c r="L18" i="50"/>
  <c r="F170" i="44" s="1"/>
  <c r="K18" i="50"/>
  <c r="E170" i="44" s="1"/>
  <c r="L17" i="50"/>
  <c r="F169" i="44" s="1"/>
  <c r="K17" i="50"/>
  <c r="E169" i="44" s="1"/>
  <c r="L16" i="50"/>
  <c r="F168" i="44" s="1"/>
  <c r="K16" i="50"/>
  <c r="E168" i="44" s="1"/>
  <c r="L15" i="50"/>
  <c r="F167" i="44" s="1"/>
  <c r="K15" i="50"/>
  <c r="E167" i="44" s="1"/>
  <c r="L14" i="50"/>
  <c r="F166" i="44" s="1"/>
  <c r="K14" i="50"/>
  <c r="E166" i="44" s="1"/>
  <c r="L13" i="50"/>
  <c r="F165" i="44" s="1"/>
  <c r="K13" i="50"/>
  <c r="E165" i="44" s="1"/>
  <c r="L12" i="50"/>
  <c r="F164" i="44" s="1"/>
  <c r="K12" i="50"/>
  <c r="E164" i="44" s="1"/>
  <c r="L11" i="50"/>
  <c r="F163" i="44" s="1"/>
  <c r="K11" i="50"/>
  <c r="E163" i="44" s="1"/>
  <c r="L10" i="50"/>
  <c r="F162" i="44" s="1"/>
  <c r="K10" i="50"/>
  <c r="E162" i="44" s="1"/>
  <c r="L9" i="50"/>
  <c r="F161" i="44" s="1"/>
  <c r="K9" i="50"/>
  <c r="E161" i="44" s="1"/>
  <c r="L8" i="50"/>
  <c r="K8"/>
  <c r="K79" i="40"/>
  <c r="F85" i="42" s="1"/>
  <c r="L79" i="40"/>
  <c r="H85" i="42" s="1"/>
  <c r="K54" i="40"/>
  <c r="F60" i="42" s="1"/>
  <c r="L54" i="40"/>
  <c r="H60" i="42" s="1"/>
  <c r="K55" i="40"/>
  <c r="F61" i="42" s="1"/>
  <c r="L55" i="40"/>
  <c r="H61" i="42" s="1"/>
  <c r="K56" i="40"/>
  <c r="F62" i="42" s="1"/>
  <c r="L56" i="40"/>
  <c r="H62" i="42" s="1"/>
  <c r="K57" i="40"/>
  <c r="F63" i="42" s="1"/>
  <c r="L57" i="40"/>
  <c r="H63" i="42" s="1"/>
  <c r="K58" i="40"/>
  <c r="F64" i="42" s="1"/>
  <c r="L58" i="40"/>
  <c r="H64" i="42" s="1"/>
  <c r="K59" i="40"/>
  <c r="F65" i="42" s="1"/>
  <c r="L59" i="40"/>
  <c r="H65" i="42" s="1"/>
  <c r="K60" i="40"/>
  <c r="L60"/>
  <c r="K61"/>
  <c r="F67" i="42" s="1"/>
  <c r="L61" i="40"/>
  <c r="H67" i="42" s="1"/>
  <c r="K62" i="40"/>
  <c r="F68" i="42" s="1"/>
  <c r="L62" i="40"/>
  <c r="H68" i="42" s="1"/>
  <c r="K63" i="40"/>
  <c r="F69" i="42" s="1"/>
  <c r="L63" i="40"/>
  <c r="H69" i="42" s="1"/>
  <c r="K64" i="40"/>
  <c r="L64"/>
  <c r="K65"/>
  <c r="L65"/>
  <c r="K66"/>
  <c r="L66"/>
  <c r="K67"/>
  <c r="L67"/>
  <c r="K68"/>
  <c r="F74" i="42" s="1"/>
  <c r="L68" i="40"/>
  <c r="H74" i="42" s="1"/>
  <c r="K69" i="40"/>
  <c r="F75" i="42" s="1"/>
  <c r="L69" i="40"/>
  <c r="H75" i="42" s="1"/>
  <c r="K70" i="40"/>
  <c r="E72" i="44" s="1"/>
  <c r="K71" i="40"/>
  <c r="F77" i="42" s="1"/>
  <c r="L71" i="40"/>
  <c r="H77" i="42" s="1"/>
  <c r="K72" i="40"/>
  <c r="F78" i="42" s="1"/>
  <c r="L72" i="40"/>
  <c r="H78" i="42" s="1"/>
  <c r="K73" i="40"/>
  <c r="F79" i="42" s="1"/>
  <c r="L73" i="40"/>
  <c r="H79" i="42" s="1"/>
  <c r="K74" i="40"/>
  <c r="F80" i="42" s="1"/>
  <c r="L74" i="40"/>
  <c r="H80" i="42" s="1"/>
  <c r="K75" i="40"/>
  <c r="F81" i="42" s="1"/>
  <c r="L75" i="40"/>
  <c r="H81" i="42" s="1"/>
  <c r="K76" i="40"/>
  <c r="F82" i="42" s="1"/>
  <c r="L76" i="40"/>
  <c r="H82" i="42" s="1"/>
  <c r="K77" i="40"/>
  <c r="L77"/>
  <c r="K78"/>
  <c r="L78"/>
  <c r="K9"/>
  <c r="F15" i="42" s="1"/>
  <c r="L9" i="40"/>
  <c r="H15" i="42" s="1"/>
  <c r="K10" i="40"/>
  <c r="F16" i="42" s="1"/>
  <c r="L10" i="40"/>
  <c r="H16" i="42" s="1"/>
  <c r="K11" i="40"/>
  <c r="F17" i="42" s="1"/>
  <c r="L11" i="40"/>
  <c r="H17" i="42" s="1"/>
  <c r="K12" i="40"/>
  <c r="F18" i="42" s="1"/>
  <c r="L12" i="40"/>
  <c r="H18" i="42" s="1"/>
  <c r="K13" i="40"/>
  <c r="F19" i="42" s="1"/>
  <c r="L13" i="40"/>
  <c r="H19" i="42" s="1"/>
  <c r="K14" i="40"/>
  <c r="F20" i="42" s="1"/>
  <c r="L14" i="40"/>
  <c r="H20" i="42" s="1"/>
  <c r="K15" i="40"/>
  <c r="F21" i="42" s="1"/>
  <c r="L15" i="40"/>
  <c r="H21" i="42" s="1"/>
  <c r="K16" i="40"/>
  <c r="F22" i="42" s="1"/>
  <c r="L16" i="40"/>
  <c r="H22" i="42" s="1"/>
  <c r="K17" i="40"/>
  <c r="F23" i="42" s="1"/>
  <c r="L17" i="40"/>
  <c r="H23" i="42" s="1"/>
  <c r="K18" i="40"/>
  <c r="F24" i="42" s="1"/>
  <c r="L18" i="40"/>
  <c r="H24" i="42" s="1"/>
  <c r="K19" i="40"/>
  <c r="F25" i="42" s="1"/>
  <c r="L19" i="40"/>
  <c r="H25" i="42" s="1"/>
  <c r="K20" i="40"/>
  <c r="F26" i="42" s="1"/>
  <c r="L20" i="40"/>
  <c r="H26" i="42" s="1"/>
  <c r="K21" i="40"/>
  <c r="F27" i="42" s="1"/>
  <c r="L21" i="40"/>
  <c r="H27" i="42" s="1"/>
  <c r="K22" i="40"/>
  <c r="F28" i="42" s="1"/>
  <c r="L22" i="40"/>
  <c r="H28" i="42" s="1"/>
  <c r="K23" i="40"/>
  <c r="L23"/>
  <c r="K24"/>
  <c r="F30" i="42" s="1"/>
  <c r="L24" i="40"/>
  <c r="H30" i="42" s="1"/>
  <c r="K25" i="40"/>
  <c r="F31" i="42" s="1"/>
  <c r="L25" i="40"/>
  <c r="H31" i="42" s="1"/>
  <c r="K26" i="40"/>
  <c r="F32" i="42" s="1"/>
  <c r="L26" i="40"/>
  <c r="H32" i="42" s="1"/>
  <c r="K27" i="40"/>
  <c r="F33" i="42" s="1"/>
  <c r="L27" i="40"/>
  <c r="H33" i="42" s="1"/>
  <c r="K28" i="40"/>
  <c r="F34" i="42" s="1"/>
  <c r="L28" i="40"/>
  <c r="H34" i="42" s="1"/>
  <c r="K29" i="40"/>
  <c r="F35" i="42" s="1"/>
  <c r="L29" i="40"/>
  <c r="H35" i="42" s="1"/>
  <c r="K30" i="40"/>
  <c r="F36" i="42" s="1"/>
  <c r="L30" i="40"/>
  <c r="H36" i="42" s="1"/>
  <c r="K31" i="40"/>
  <c r="L31"/>
  <c r="K32"/>
  <c r="F38" i="42" s="1"/>
  <c r="L32" i="40"/>
  <c r="H38" i="42" s="1"/>
  <c r="K33" i="40"/>
  <c r="F39" i="42" s="1"/>
  <c r="L33" i="40"/>
  <c r="H39" i="42" s="1"/>
  <c r="K34" i="40"/>
  <c r="L34"/>
  <c r="K35"/>
  <c r="F41" i="42" s="1"/>
  <c r="L35" i="40"/>
  <c r="H41" i="42" s="1"/>
  <c r="K36" i="40"/>
  <c r="F42" i="42" s="1"/>
  <c r="L36" i="40"/>
  <c r="H42" i="42" s="1"/>
  <c r="K37" i="40"/>
  <c r="F43" i="42" s="1"/>
  <c r="L37" i="40"/>
  <c r="H43" i="42" s="1"/>
  <c r="K38" i="40"/>
  <c r="F44" i="42" s="1"/>
  <c r="L38" i="40"/>
  <c r="H44" i="42" s="1"/>
  <c r="K39" i="40"/>
  <c r="F45" i="42" s="1"/>
  <c r="L39" i="40"/>
  <c r="H45" i="42" s="1"/>
  <c r="K40" i="40"/>
  <c r="F46" i="42" s="1"/>
  <c r="L40" i="40"/>
  <c r="H46" i="42" s="1"/>
  <c r="K41" i="40"/>
  <c r="F47" i="42" s="1"/>
  <c r="L41" i="40"/>
  <c r="H47" i="42" s="1"/>
  <c r="K42" i="40"/>
  <c r="F48" i="42" s="1"/>
  <c r="L42" i="40"/>
  <c r="H48" i="42" s="1"/>
  <c r="K43" i="40"/>
  <c r="F49" i="42" s="1"/>
  <c r="L43" i="40"/>
  <c r="H49" i="42" s="1"/>
  <c r="K44" i="40"/>
  <c r="F50" i="42" s="1"/>
  <c r="L44" i="40"/>
  <c r="H50" i="42" s="1"/>
  <c r="K45" i="40"/>
  <c r="F51" i="42" s="1"/>
  <c r="L45" i="40"/>
  <c r="H51" i="42" s="1"/>
  <c r="K46" i="40"/>
  <c r="F52" i="42" s="1"/>
  <c r="L46" i="40"/>
  <c r="H52" i="42" s="1"/>
  <c r="K47" i="40"/>
  <c r="F53" i="42" s="1"/>
  <c r="L47" i="40"/>
  <c r="H53" i="42" s="1"/>
  <c r="K48" i="40"/>
  <c r="F54" i="42" s="1"/>
  <c r="L48" i="40"/>
  <c r="H54" i="42" s="1"/>
  <c r="K49" i="40"/>
  <c r="F55" i="42" s="1"/>
  <c r="L49" i="40"/>
  <c r="K50"/>
  <c r="L50"/>
  <c r="H56" i="42" s="1"/>
  <c r="K51" i="40"/>
  <c r="F57" i="42" s="1"/>
  <c r="L51" i="40"/>
  <c r="H57" i="42" s="1"/>
  <c r="K52" i="40"/>
  <c r="F58" i="42" s="1"/>
  <c r="L52" i="40"/>
  <c r="H58" i="42" s="1"/>
  <c r="K53" i="40"/>
  <c r="F59" i="42" s="1"/>
  <c r="L53" i="40"/>
  <c r="H59" i="42" s="1"/>
  <c r="L8" i="40"/>
  <c r="K8"/>
  <c r="P24" s="1"/>
  <c r="Q24" i="50" l="1"/>
  <c r="F160" i="44"/>
  <c r="P58" i="50"/>
  <c r="E175" i="44"/>
  <c r="P25" i="50"/>
  <c r="E219" i="44"/>
  <c r="P24" i="50"/>
  <c r="E160" i="44"/>
  <c r="P22" i="50"/>
  <c r="E186" i="44"/>
  <c r="P61" i="50"/>
  <c r="P60"/>
  <c r="E212" i="44"/>
  <c r="P62" i="50"/>
  <c r="E216" i="44"/>
  <c r="P64" i="50"/>
  <c r="E218" i="44"/>
  <c r="Q22" i="50"/>
  <c r="F186" i="44"/>
  <c r="K174" s="1"/>
  <c r="Q60" i="50"/>
  <c r="F212" i="44"/>
  <c r="Q62" i="50"/>
  <c r="F216" i="44"/>
  <c r="Q64" i="50"/>
  <c r="F218" i="44"/>
  <c r="P84" i="42"/>
  <c r="Q65" i="50"/>
  <c r="P59"/>
  <c r="E183" i="44"/>
  <c r="P23" i="50"/>
  <c r="E229" i="44"/>
  <c r="Q58" i="50"/>
  <c r="F175" i="44"/>
  <c r="Q59" i="50"/>
  <c r="F183" i="44"/>
  <c r="Q61" i="50"/>
  <c r="F201" i="44"/>
  <c r="P71" i="42"/>
  <c r="Q63" i="50"/>
  <c r="Q25"/>
  <c r="F219" i="44"/>
  <c r="P77" i="42"/>
  <c r="F223" i="44"/>
  <c r="Q23" i="50"/>
  <c r="F229" i="44"/>
  <c r="F37" i="42"/>
  <c r="P59" i="40"/>
  <c r="H72" i="42"/>
  <c r="Q64" i="40"/>
  <c r="H66" i="42"/>
  <c r="Q60" i="40"/>
  <c r="F70" i="42"/>
  <c r="P62" i="40"/>
  <c r="H14" i="42"/>
  <c r="Q24" i="40"/>
  <c r="F56" i="42"/>
  <c r="P61" i="40"/>
  <c r="F40" i="42"/>
  <c r="P22" i="40"/>
  <c r="F84" i="42"/>
  <c r="P65" i="40"/>
  <c r="H73" i="42"/>
  <c r="Q25" i="40"/>
  <c r="H71" i="42"/>
  <c r="Q63" i="40"/>
  <c r="F29" i="42"/>
  <c r="P58" i="40"/>
  <c r="F83" i="42"/>
  <c r="P23" i="40"/>
  <c r="H70" i="42"/>
  <c r="Q62" i="40"/>
  <c r="H40" i="42"/>
  <c r="Q22" i="40"/>
  <c r="H84" i="42"/>
  <c r="Q65" i="40"/>
  <c r="F72" i="42"/>
  <c r="P64" i="40"/>
  <c r="F66" i="42"/>
  <c r="P60" i="40"/>
  <c r="H55" i="42"/>
  <c r="Q61" i="40"/>
  <c r="H37" i="42"/>
  <c r="Q59" i="40"/>
  <c r="H29" i="42"/>
  <c r="Q58" i="40"/>
  <c r="H83" i="42"/>
  <c r="Q23" i="40"/>
  <c r="F73" i="42"/>
  <c r="P25" i="40"/>
  <c r="F71" i="42"/>
  <c r="P63" i="40"/>
  <c r="F14" i="42"/>
  <c r="N16"/>
  <c r="AQ16"/>
  <c r="N20"/>
  <c r="AQ20"/>
  <c r="N24"/>
  <c r="AQ24"/>
  <c r="N28"/>
  <c r="AQ28"/>
  <c r="N32"/>
  <c r="AQ32"/>
  <c r="N36"/>
  <c r="AQ36"/>
  <c r="N40"/>
  <c r="AQ40"/>
  <c r="N44"/>
  <c r="N48"/>
  <c r="AQ48"/>
  <c r="N52"/>
  <c r="AQ52"/>
  <c r="N56"/>
  <c r="AQ56"/>
  <c r="N60"/>
  <c r="N64"/>
  <c r="AQ64"/>
  <c r="N68"/>
  <c r="AQ68"/>
  <c r="N72"/>
  <c r="AQ72"/>
  <c r="N76"/>
  <c r="AQ76"/>
  <c r="N80"/>
  <c r="AQ15"/>
  <c r="N15"/>
  <c r="N17"/>
  <c r="AQ19"/>
  <c r="N19"/>
  <c r="N21"/>
  <c r="AQ23"/>
  <c r="N23"/>
  <c r="AQ25"/>
  <c r="N25"/>
  <c r="AQ27"/>
  <c r="N27"/>
  <c r="AQ29"/>
  <c r="N29"/>
  <c r="N31"/>
  <c r="AQ33"/>
  <c r="N33"/>
  <c r="AQ35"/>
  <c r="N35"/>
  <c r="N37"/>
  <c r="AQ39"/>
  <c r="N39"/>
  <c r="AQ41"/>
  <c r="N41"/>
  <c r="AQ43"/>
  <c r="N43"/>
  <c r="N45"/>
  <c r="AQ47"/>
  <c r="N47"/>
  <c r="AQ49"/>
  <c r="N49"/>
  <c r="AQ51"/>
  <c r="N51"/>
  <c r="N53"/>
  <c r="AQ55"/>
  <c r="N55"/>
  <c r="AQ59"/>
  <c r="N59"/>
  <c r="AQ61"/>
  <c r="N61"/>
  <c r="AQ63"/>
  <c r="N63"/>
  <c r="AQ65"/>
  <c r="N65"/>
  <c r="AQ67"/>
  <c r="N67"/>
  <c r="AQ69"/>
  <c r="N69"/>
  <c r="AQ73"/>
  <c r="N73"/>
  <c r="AQ75"/>
  <c r="N75"/>
  <c r="AQ77"/>
  <c r="N77"/>
  <c r="N79"/>
  <c r="AQ81"/>
  <c r="N81"/>
  <c r="AQ83"/>
  <c r="N83"/>
  <c r="AQ85"/>
  <c r="N85"/>
  <c r="N14"/>
  <c r="AQ14"/>
  <c r="N18"/>
  <c r="AQ22"/>
  <c r="N22"/>
  <c r="N26"/>
  <c r="AQ26"/>
  <c r="AQ30"/>
  <c r="N30"/>
  <c r="AQ34"/>
  <c r="N34"/>
  <c r="N38"/>
  <c r="AQ38"/>
  <c r="AQ42"/>
  <c r="N42"/>
  <c r="N46"/>
  <c r="AQ46"/>
  <c r="AQ50"/>
  <c r="N50"/>
  <c r="N54"/>
  <c r="AQ58"/>
  <c r="N58"/>
  <c r="N62"/>
  <c r="AQ62"/>
  <c r="AQ66"/>
  <c r="N66"/>
  <c r="N70"/>
  <c r="AQ74"/>
  <c r="N74"/>
  <c r="N78"/>
  <c r="AQ78"/>
  <c r="N82"/>
  <c r="N84"/>
  <c r="AQ84"/>
  <c r="E222" i="44"/>
  <c r="P17" i="42"/>
  <c r="P21"/>
  <c r="P27"/>
  <c r="P31"/>
  <c r="P35"/>
  <c r="P39"/>
  <c r="P43"/>
  <c r="P47"/>
  <c r="P51"/>
  <c r="P61"/>
  <c r="P65"/>
  <c r="P67"/>
  <c r="P69"/>
  <c r="P81"/>
  <c r="P85"/>
  <c r="P14"/>
  <c r="P18"/>
  <c r="P22"/>
  <c r="P26"/>
  <c r="P30"/>
  <c r="P34"/>
  <c r="P38"/>
  <c r="P40"/>
  <c r="P42"/>
  <c r="P46"/>
  <c r="P48"/>
  <c r="P50"/>
  <c r="P52"/>
  <c r="P54"/>
  <c r="P58"/>
  <c r="P62"/>
  <c r="P66"/>
  <c r="P70"/>
  <c r="P76"/>
  <c r="F222" i="44"/>
  <c r="P15" i="42"/>
  <c r="P19"/>
  <c r="P23"/>
  <c r="P25"/>
  <c r="P29"/>
  <c r="P33"/>
  <c r="P37"/>
  <c r="P41"/>
  <c r="P45"/>
  <c r="P49"/>
  <c r="P53"/>
  <c r="P55"/>
  <c r="P59"/>
  <c r="P63"/>
  <c r="P73"/>
  <c r="P75"/>
  <c r="P79"/>
  <c r="P83"/>
  <c r="P16"/>
  <c r="P20"/>
  <c r="P24"/>
  <c r="P28"/>
  <c r="P32"/>
  <c r="P36"/>
  <c r="P44"/>
  <c r="P60"/>
  <c r="P64"/>
  <c r="P68"/>
  <c r="P72"/>
  <c r="P74"/>
  <c r="P78"/>
  <c r="P80"/>
  <c r="P82"/>
  <c r="H76"/>
  <c r="F76"/>
  <c r="G122" i="44" l="1"/>
  <c r="G142" s="1"/>
  <c r="H83"/>
  <c r="K77" i="51"/>
  <c r="L77"/>
  <c r="K78"/>
  <c r="P65" s="1"/>
  <c r="L78"/>
  <c r="K79"/>
  <c r="E156" i="44" s="1"/>
  <c r="M156" s="1"/>
  <c r="L79" i="51"/>
  <c r="F156" i="44" s="1"/>
  <c r="N156" s="1"/>
  <c r="K63" i="51"/>
  <c r="E140" i="44" s="1"/>
  <c r="M140" s="1"/>
  <c r="L63" i="51"/>
  <c r="F140" i="44" s="1"/>
  <c r="N140" s="1"/>
  <c r="K64" i="51"/>
  <c r="L64"/>
  <c r="K65"/>
  <c r="L65"/>
  <c r="K66"/>
  <c r="L66"/>
  <c r="K67"/>
  <c r="L67"/>
  <c r="K68"/>
  <c r="E145" i="44" s="1"/>
  <c r="M145" s="1"/>
  <c r="L68" i="51"/>
  <c r="F145" i="44" s="1"/>
  <c r="N145" s="1"/>
  <c r="K69" i="51"/>
  <c r="L69"/>
  <c r="F146" i="44" s="1"/>
  <c r="N146" s="1"/>
  <c r="K70" i="51"/>
  <c r="L70"/>
  <c r="L71"/>
  <c r="K72"/>
  <c r="L72"/>
  <c r="F149" i="44" s="1"/>
  <c r="N149" s="1"/>
  <c r="K73" i="51"/>
  <c r="L73"/>
  <c r="L79" i="42" s="1"/>
  <c r="K74" i="51"/>
  <c r="J80" i="42" s="1"/>
  <c r="L74" i="51"/>
  <c r="K75"/>
  <c r="E152" i="44" s="1"/>
  <c r="M152" s="1"/>
  <c r="L75" i="51"/>
  <c r="F152" i="44" s="1"/>
  <c r="N152" s="1"/>
  <c r="K76" i="51"/>
  <c r="E153" i="44" s="1"/>
  <c r="M153" s="1"/>
  <c r="L76" i="51"/>
  <c r="F153" i="44" s="1"/>
  <c r="N153" s="1"/>
  <c r="K55" i="51"/>
  <c r="E132" i="44" s="1"/>
  <c r="M132" s="1"/>
  <c r="L55" i="51"/>
  <c r="F132" i="44" s="1"/>
  <c r="N132" s="1"/>
  <c r="K56" i="51"/>
  <c r="L56"/>
  <c r="F133" i="44" s="1"/>
  <c r="N133" s="1"/>
  <c r="K57" i="51"/>
  <c r="E134" i="44" s="1"/>
  <c r="M134" s="1"/>
  <c r="L57" i="51"/>
  <c r="K58"/>
  <c r="E135" i="44" s="1"/>
  <c r="M135" s="1"/>
  <c r="L58" i="51"/>
  <c r="F135" i="44" s="1"/>
  <c r="N135" s="1"/>
  <c r="K59" i="51"/>
  <c r="E136" i="44" s="1"/>
  <c r="M136" s="1"/>
  <c r="L59" i="51"/>
  <c r="F136" i="44" s="1"/>
  <c r="N136" s="1"/>
  <c r="K60" i="51"/>
  <c r="L60"/>
  <c r="K61"/>
  <c r="E138" i="44" s="1"/>
  <c r="M138" s="1"/>
  <c r="L61" i="51"/>
  <c r="F138" i="44" s="1"/>
  <c r="N138" s="1"/>
  <c r="K62" i="51"/>
  <c r="E139" i="44" s="1"/>
  <c r="M139" s="1"/>
  <c r="L62" i="51"/>
  <c r="F139" i="44" s="1"/>
  <c r="N139" s="1"/>
  <c r="J59" i="42"/>
  <c r="K54" i="51"/>
  <c r="E131" i="44" s="1"/>
  <c r="M131" s="1"/>
  <c r="L54" i="51"/>
  <c r="F131" i="44" s="1"/>
  <c r="N131" s="1"/>
  <c r="K51" i="51"/>
  <c r="J57" i="42" s="1"/>
  <c r="L51" i="51"/>
  <c r="L57" i="42" s="1"/>
  <c r="K49" i="51"/>
  <c r="L49"/>
  <c r="K50"/>
  <c r="L50"/>
  <c r="L56" i="42" s="1"/>
  <c r="K44" i="51"/>
  <c r="E121" i="44" s="1"/>
  <c r="M121" s="1"/>
  <c r="L44" i="51"/>
  <c r="F121" i="44" s="1"/>
  <c r="N121" s="1"/>
  <c r="K45" i="51"/>
  <c r="E122" i="44" s="1"/>
  <c r="M122" s="1"/>
  <c r="L45" i="51"/>
  <c r="F122" i="44" s="1"/>
  <c r="N122" s="1"/>
  <c r="K46" i="51"/>
  <c r="E123" i="44" s="1"/>
  <c r="M123" s="1"/>
  <c r="L46" i="51"/>
  <c r="F123" i="44" s="1"/>
  <c r="N123" s="1"/>
  <c r="K47" i="51"/>
  <c r="E124" i="44" s="1"/>
  <c r="M124" s="1"/>
  <c r="L47" i="51"/>
  <c r="K48"/>
  <c r="E125" i="44" s="1"/>
  <c r="M125" s="1"/>
  <c r="L48" i="51"/>
  <c r="F125" i="44" s="1"/>
  <c r="N125" s="1"/>
  <c r="P45" i="51"/>
  <c r="K38"/>
  <c r="E115" i="44" s="1"/>
  <c r="M115" s="1"/>
  <c r="L38" i="51"/>
  <c r="F115" i="44" s="1"/>
  <c r="N115" s="1"/>
  <c r="K39" i="51"/>
  <c r="E116" i="44" s="1"/>
  <c r="M116" s="1"/>
  <c r="L39" i="51"/>
  <c r="F116" i="44" s="1"/>
  <c r="N116" s="1"/>
  <c r="K40" i="51"/>
  <c r="E117" i="44" s="1"/>
  <c r="M117" s="1"/>
  <c r="L40" i="51"/>
  <c r="F117" i="44" s="1"/>
  <c r="N117" s="1"/>
  <c r="K41" i="51"/>
  <c r="E118" i="44" s="1"/>
  <c r="M118" s="1"/>
  <c r="L41" i="51"/>
  <c r="F118" i="44" s="1"/>
  <c r="N118" s="1"/>
  <c r="K42" i="51"/>
  <c r="L42"/>
  <c r="F119" i="44" s="1"/>
  <c r="N119" s="1"/>
  <c r="K43" i="51"/>
  <c r="E120" i="44" s="1"/>
  <c r="M120" s="1"/>
  <c r="L43" i="51"/>
  <c r="K33"/>
  <c r="E110" i="44" s="1"/>
  <c r="M110" s="1"/>
  <c r="L33" i="51"/>
  <c r="F110" i="44" s="1"/>
  <c r="N110" s="1"/>
  <c r="K34" i="51"/>
  <c r="L34"/>
  <c r="K35"/>
  <c r="E112" i="44" s="1"/>
  <c r="M112" s="1"/>
  <c r="L35" i="51"/>
  <c r="F112" i="44" s="1"/>
  <c r="N112" s="1"/>
  <c r="K36" i="51"/>
  <c r="E113" i="44" s="1"/>
  <c r="M113" s="1"/>
  <c r="L36" i="51"/>
  <c r="F113" i="44" s="1"/>
  <c r="N113" s="1"/>
  <c r="K37" i="51"/>
  <c r="E114" i="44" s="1"/>
  <c r="M114" s="1"/>
  <c r="L37" i="51"/>
  <c r="F114" i="44" s="1"/>
  <c r="N114" s="1"/>
  <c r="K26" i="51"/>
  <c r="E103" i="44" s="1"/>
  <c r="M103" s="1"/>
  <c r="L26" i="51"/>
  <c r="F103" i="44" s="1"/>
  <c r="N103" s="1"/>
  <c r="K27" i="51"/>
  <c r="L27"/>
  <c r="F104" i="44" s="1"/>
  <c r="N104" s="1"/>
  <c r="K28" i="51"/>
  <c r="E105" i="44" s="1"/>
  <c r="M105" s="1"/>
  <c r="L28" i="51"/>
  <c r="F105" i="44" s="1"/>
  <c r="N105" s="1"/>
  <c r="K29" i="51"/>
  <c r="E106" i="44" s="1"/>
  <c r="M106" s="1"/>
  <c r="L29" i="51"/>
  <c r="F106" i="44" s="1"/>
  <c r="N106" s="1"/>
  <c r="K30" i="51"/>
  <c r="E107" i="44" s="1"/>
  <c r="M107" s="1"/>
  <c r="L30" i="51"/>
  <c r="F107" i="44" s="1"/>
  <c r="N107" s="1"/>
  <c r="K31" i="51"/>
  <c r="L31"/>
  <c r="K32"/>
  <c r="E109" i="44" s="1"/>
  <c r="M109" s="1"/>
  <c r="L32" i="51"/>
  <c r="F109" i="44" s="1"/>
  <c r="N109" s="1"/>
  <c r="K25" i="51"/>
  <c r="E102" i="44" s="1"/>
  <c r="M102" s="1"/>
  <c r="L25" i="51"/>
  <c r="F102" i="44" s="1"/>
  <c r="N102" s="1"/>
  <c r="K12" i="51"/>
  <c r="E89" i="44" s="1"/>
  <c r="M89" s="1"/>
  <c r="L12" i="51"/>
  <c r="F89" i="44" s="1"/>
  <c r="N89" s="1"/>
  <c r="K13" i="51"/>
  <c r="E90" i="44" s="1"/>
  <c r="M90" s="1"/>
  <c r="L13" i="51"/>
  <c r="F90" i="44" s="1"/>
  <c r="N90" s="1"/>
  <c r="K14" i="51"/>
  <c r="E91" i="44" s="1"/>
  <c r="M91" s="1"/>
  <c r="L14" i="51"/>
  <c r="F91" i="44" s="1"/>
  <c r="N91" s="1"/>
  <c r="K15" i="51"/>
  <c r="E92" i="44" s="1"/>
  <c r="M92" s="1"/>
  <c r="L15" i="51"/>
  <c r="F92" i="44" s="1"/>
  <c r="N92" s="1"/>
  <c r="K16" i="51"/>
  <c r="E93" i="44" s="1"/>
  <c r="M93" s="1"/>
  <c r="L16" i="51"/>
  <c r="F93" i="44" s="1"/>
  <c r="N93" s="1"/>
  <c r="K17" i="51"/>
  <c r="E94" i="44" s="1"/>
  <c r="M94" s="1"/>
  <c r="L17" i="51"/>
  <c r="F94" i="44" s="1"/>
  <c r="N94" s="1"/>
  <c r="K18" i="51"/>
  <c r="E95" i="44" s="1"/>
  <c r="M95" s="1"/>
  <c r="L18" i="51"/>
  <c r="F95" i="44" s="1"/>
  <c r="N95" s="1"/>
  <c r="K19" i="51"/>
  <c r="L19"/>
  <c r="F96" i="44" s="1"/>
  <c r="N96" s="1"/>
  <c r="K20" i="51"/>
  <c r="E97" i="44" s="1"/>
  <c r="M97" s="1"/>
  <c r="L20" i="51"/>
  <c r="F97" i="44" s="1"/>
  <c r="N97" s="1"/>
  <c r="K21" i="51"/>
  <c r="E98" i="44" s="1"/>
  <c r="M98" s="1"/>
  <c r="L21" i="51"/>
  <c r="F98" i="44" s="1"/>
  <c r="N98" s="1"/>
  <c r="K22" i="51"/>
  <c r="E99" i="44" s="1"/>
  <c r="M99" s="1"/>
  <c r="L22" i="51"/>
  <c r="F99" i="44" s="1"/>
  <c r="N99" s="1"/>
  <c r="K23" i="51"/>
  <c r="L23"/>
  <c r="K24"/>
  <c r="E101" i="44" s="1"/>
  <c r="M101" s="1"/>
  <c r="L24" i="51"/>
  <c r="K11"/>
  <c r="E88" i="44" s="1"/>
  <c r="M88" s="1"/>
  <c r="L11" i="51"/>
  <c r="F88" i="44" s="1"/>
  <c r="N88" s="1"/>
  <c r="K10" i="51"/>
  <c r="E87" i="44" s="1"/>
  <c r="M87" s="1"/>
  <c r="L10" i="51"/>
  <c r="F87" i="44" s="1"/>
  <c r="N87" s="1"/>
  <c r="K9" i="51"/>
  <c r="E86" i="44" s="1"/>
  <c r="M86" s="1"/>
  <c r="L9" i="51"/>
  <c r="F86" i="44" s="1"/>
  <c r="N86" s="1"/>
  <c r="P9" i="51"/>
  <c r="Q8"/>
  <c r="P22" l="1"/>
  <c r="E111" i="44"/>
  <c r="Q61" i="51"/>
  <c r="F126" i="44"/>
  <c r="J66" i="42"/>
  <c r="P60" i="51"/>
  <c r="E137" i="44"/>
  <c r="M137" s="1"/>
  <c r="J62" i="42"/>
  <c r="E133" i="44"/>
  <c r="M133" s="1"/>
  <c r="Q25" i="51"/>
  <c r="F144" i="44"/>
  <c r="N144" s="1"/>
  <c r="Q63" i="51"/>
  <c r="K140" i="44"/>
  <c r="L84" i="42"/>
  <c r="Q65" i="51"/>
  <c r="P31"/>
  <c r="L29" i="42"/>
  <c r="F100" i="44"/>
  <c r="N100" s="1"/>
  <c r="L37" i="42"/>
  <c r="Q59" i="51"/>
  <c r="F108" i="44"/>
  <c r="L63" i="42"/>
  <c r="F134" i="44"/>
  <c r="K121"/>
  <c r="P25" i="51"/>
  <c r="E144" i="44"/>
  <c r="M144" s="1"/>
  <c r="P63" i="51"/>
  <c r="J140" i="44"/>
  <c r="Q33" i="51"/>
  <c r="J29" i="42"/>
  <c r="P58" i="51"/>
  <c r="E100" i="44"/>
  <c r="M100" s="1"/>
  <c r="P28" i="51"/>
  <c r="E96" i="44"/>
  <c r="J37" i="42"/>
  <c r="P59" i="51"/>
  <c r="E108" i="44"/>
  <c r="P33" i="51"/>
  <c r="E104" i="44"/>
  <c r="M104" s="1"/>
  <c r="P49" i="51"/>
  <c r="E119" i="44"/>
  <c r="L53" i="42"/>
  <c r="F124" i="44"/>
  <c r="L72" i="42"/>
  <c r="Q64" i="51"/>
  <c r="F143" i="44"/>
  <c r="Q62" i="51"/>
  <c r="F141" i="44"/>
  <c r="N141" s="1"/>
  <c r="Q23" i="51"/>
  <c r="F154" i="44"/>
  <c r="N154" s="1"/>
  <c r="P16" i="51"/>
  <c r="Q22"/>
  <c r="F111" i="44"/>
  <c r="L49" i="42"/>
  <c r="F120" i="44"/>
  <c r="J56" i="42"/>
  <c r="P61" i="51"/>
  <c r="L66" i="42"/>
  <c r="Q60" i="51"/>
  <c r="F137" i="44"/>
  <c r="N137" s="1"/>
  <c r="P64" i="51"/>
  <c r="E143" i="44"/>
  <c r="P62" i="51"/>
  <c r="E141" i="44"/>
  <c r="M141" s="1"/>
  <c r="P23" i="51"/>
  <c r="E154" i="44"/>
  <c r="Q58" i="51"/>
  <c r="F101" i="44"/>
  <c r="N101" s="1"/>
  <c r="Q14" i="51"/>
  <c r="L15" i="42"/>
  <c r="K119" i="44"/>
  <c r="L17" i="42"/>
  <c r="K115" i="44"/>
  <c r="L27" i="42"/>
  <c r="Q28" i="51"/>
  <c r="L25" i="42"/>
  <c r="Q29" i="51"/>
  <c r="L23" i="42"/>
  <c r="Q37" i="51"/>
  <c r="L21" i="42"/>
  <c r="Q27" i="51"/>
  <c r="L19" i="42"/>
  <c r="Q39" i="51"/>
  <c r="L31" i="42"/>
  <c r="L35"/>
  <c r="K110" i="44"/>
  <c r="L33" i="42"/>
  <c r="L43"/>
  <c r="L41"/>
  <c r="L39"/>
  <c r="Q49" i="51"/>
  <c r="L48" i="42"/>
  <c r="Q48" i="51"/>
  <c r="L46" i="42"/>
  <c r="Q19" i="51"/>
  <c r="L44" i="42"/>
  <c r="J93" i="44"/>
  <c r="J54" i="42"/>
  <c r="J89" i="44"/>
  <c r="J52" i="42"/>
  <c r="P11" i="51"/>
  <c r="J50" i="42"/>
  <c r="J95" i="44"/>
  <c r="J55" i="42"/>
  <c r="J58"/>
  <c r="J67"/>
  <c r="J123" i="44"/>
  <c r="J65" i="42"/>
  <c r="P51" i="51"/>
  <c r="J63" i="42"/>
  <c r="P47" i="51"/>
  <c r="J61" i="42"/>
  <c r="J86" i="44"/>
  <c r="J81" i="42"/>
  <c r="P8" i="51"/>
  <c r="J79" i="42"/>
  <c r="P44" i="51"/>
  <c r="J75" i="42"/>
  <c r="J73"/>
  <c r="J69"/>
  <c r="J84"/>
  <c r="P14" i="51"/>
  <c r="J15" i="42"/>
  <c r="P42" i="51"/>
  <c r="J17" i="42"/>
  <c r="P38" i="51"/>
  <c r="J27" i="42"/>
  <c r="J25"/>
  <c r="P29" i="51"/>
  <c r="J23" i="42"/>
  <c r="P37" i="51"/>
  <c r="J21" i="42"/>
  <c r="P27" i="51"/>
  <c r="J19" i="42"/>
  <c r="P39" i="51"/>
  <c r="J31" i="42"/>
  <c r="J35"/>
  <c r="J33"/>
  <c r="J43"/>
  <c r="J41"/>
  <c r="J39"/>
  <c r="J48"/>
  <c r="P48" i="51"/>
  <c r="J46" i="42"/>
  <c r="J96" i="44"/>
  <c r="J44" i="42"/>
  <c r="Q45" i="51"/>
  <c r="L51" i="42"/>
  <c r="Q17" i="51"/>
  <c r="L60" i="42"/>
  <c r="L68"/>
  <c r="Q52" i="51"/>
  <c r="L64" i="42"/>
  <c r="Q53" i="51"/>
  <c r="L62" i="42"/>
  <c r="K98" i="44"/>
  <c r="L82" i="42"/>
  <c r="Q10" i="51"/>
  <c r="L80" i="42"/>
  <c r="L78"/>
  <c r="L76"/>
  <c r="L74"/>
  <c r="L70"/>
  <c r="L85"/>
  <c r="L83"/>
  <c r="Q41" i="51"/>
  <c r="L16" i="42"/>
  <c r="L30"/>
  <c r="K107" i="44"/>
  <c r="L28" i="42"/>
  <c r="Q35" i="51"/>
  <c r="L26" i="42"/>
  <c r="K111" i="44"/>
  <c r="L24" i="42"/>
  <c r="Q32" i="51"/>
  <c r="L22" i="42"/>
  <c r="K117" i="44"/>
  <c r="L20" i="42"/>
  <c r="Q43" i="51"/>
  <c r="L18" i="42"/>
  <c r="L38"/>
  <c r="L36"/>
  <c r="K113" i="44"/>
  <c r="L34" i="42"/>
  <c r="Q31" i="51"/>
  <c r="L32" i="42"/>
  <c r="L42"/>
  <c r="L40"/>
  <c r="Q50" i="51"/>
  <c r="L47" i="42"/>
  <c r="K97" i="44"/>
  <c r="L45" i="42"/>
  <c r="P15" i="51"/>
  <c r="J53" i="42"/>
  <c r="J122" i="44"/>
  <c r="J51" i="42"/>
  <c r="P17" i="51"/>
  <c r="J60" i="42"/>
  <c r="J68"/>
  <c r="J129" i="44"/>
  <c r="J64" i="42"/>
  <c r="P21" i="51"/>
  <c r="J82" i="42"/>
  <c r="J78"/>
  <c r="J76"/>
  <c r="J74"/>
  <c r="J72"/>
  <c r="J70"/>
  <c r="J85"/>
  <c r="J83"/>
  <c r="J118" i="44"/>
  <c r="J16" i="42"/>
  <c r="J30"/>
  <c r="P30" i="51"/>
  <c r="J28" i="42"/>
  <c r="P35" i="51"/>
  <c r="J26" i="42"/>
  <c r="P34" i="51"/>
  <c r="J24" i="42"/>
  <c r="P32" i="51"/>
  <c r="J22" i="42"/>
  <c r="P40" i="51"/>
  <c r="J20" i="42"/>
  <c r="P43" i="51"/>
  <c r="J18" i="42"/>
  <c r="J38"/>
  <c r="J36"/>
  <c r="P36" i="51"/>
  <c r="J34" i="42"/>
  <c r="J108" i="44"/>
  <c r="J32" i="42"/>
  <c r="J42"/>
  <c r="J40"/>
  <c r="P13" i="51"/>
  <c r="J49" i="42"/>
  <c r="J127" i="44"/>
  <c r="J47" i="42"/>
  <c r="P20" i="51"/>
  <c r="J45" i="42"/>
  <c r="Q16" i="51"/>
  <c r="L54" i="42"/>
  <c r="Q12" i="51"/>
  <c r="L52" i="42"/>
  <c r="K88" i="44"/>
  <c r="L50" i="42"/>
  <c r="Q18" i="51"/>
  <c r="L55" i="42"/>
  <c r="L58"/>
  <c r="L59"/>
  <c r="L67"/>
  <c r="K123" i="44"/>
  <c r="L65" i="42"/>
  <c r="K124" i="44"/>
  <c r="L61" i="42"/>
  <c r="Q9" i="51"/>
  <c r="L81" i="42"/>
  <c r="L75"/>
  <c r="L73"/>
  <c r="L69"/>
  <c r="Q30" i="51"/>
  <c r="J88" i="44"/>
  <c r="Q34" i="51"/>
  <c r="P41"/>
  <c r="Q20"/>
  <c r="Q47"/>
  <c r="P50"/>
  <c r="Q46"/>
  <c r="Q36"/>
  <c r="J98" i="44"/>
  <c r="J120"/>
  <c r="P52" i="51"/>
  <c r="K86" i="44"/>
  <c r="J124"/>
  <c r="K125"/>
  <c r="J91"/>
  <c r="K96"/>
  <c r="J106"/>
  <c r="J104"/>
  <c r="K116"/>
  <c r="Q38" i="51"/>
  <c r="P19"/>
  <c r="Q44"/>
  <c r="P18"/>
  <c r="K100" i="44"/>
  <c r="J92"/>
  <c r="K122"/>
  <c r="J90"/>
  <c r="J97"/>
  <c r="K89"/>
  <c r="J113"/>
  <c r="Q21" i="51"/>
  <c r="Q40"/>
  <c r="Q11"/>
  <c r="K129" i="44"/>
  <c r="K126"/>
  <c r="K108"/>
  <c r="J115"/>
  <c r="K106"/>
  <c r="K104"/>
  <c r="J119"/>
  <c r="K118"/>
  <c r="Q15" i="51"/>
  <c r="K130" i="44"/>
  <c r="K94"/>
  <c r="J125"/>
  <c r="K112"/>
  <c r="J114"/>
  <c r="P12" i="51"/>
  <c r="Q51"/>
  <c r="P53"/>
  <c r="P10"/>
  <c r="K101" i="44"/>
  <c r="J94"/>
  <c r="K93"/>
  <c r="K127"/>
  <c r="J112"/>
  <c r="K109"/>
  <c r="K91"/>
  <c r="Q42" i="51"/>
  <c r="P46"/>
  <c r="Q13"/>
  <c r="J101" i="44"/>
  <c r="J128"/>
  <c r="J116"/>
  <c r="J109"/>
  <c r="K120"/>
  <c r="J107"/>
  <c r="K105"/>
  <c r="J111"/>
  <c r="K114"/>
  <c r="J117"/>
  <c r="J121"/>
  <c r="K90" l="1"/>
  <c r="N120"/>
  <c r="K99"/>
  <c r="N111"/>
  <c r="K92"/>
  <c r="N124"/>
  <c r="J126"/>
  <c r="M119"/>
  <c r="J136"/>
  <c r="M108"/>
  <c r="K128"/>
  <c r="N134"/>
  <c r="K136"/>
  <c r="N108"/>
  <c r="J100"/>
  <c r="M154"/>
  <c r="J141"/>
  <c r="M143"/>
  <c r="K141"/>
  <c r="N143"/>
  <c r="J105"/>
  <c r="M96"/>
  <c r="K95"/>
  <c r="N126"/>
  <c r="J99"/>
  <c r="M111"/>
  <c r="J130"/>
  <c r="J110"/>
  <c r="K102"/>
  <c r="J102"/>
  <c r="J137"/>
  <c r="K135"/>
  <c r="K137"/>
  <c r="J135"/>
  <c r="G197"/>
  <c r="G217" s="1"/>
  <c r="H158"/>
  <c r="K211" l="1"/>
  <c r="P44" i="50"/>
  <c r="Q44"/>
  <c r="J174" i="44"/>
  <c r="J212" l="1"/>
  <c r="J211"/>
  <c r="K210"/>
  <c r="J210"/>
  <c r="J177"/>
  <c r="K177"/>
  <c r="K212"/>
  <c r="Q37" i="50"/>
  <c r="K214" i="44"/>
  <c r="Q51" i="50"/>
  <c r="Q16"/>
  <c r="Q45"/>
  <c r="P48"/>
  <c r="P34"/>
  <c r="Q40"/>
  <c r="P42"/>
  <c r="P41"/>
  <c r="Q10"/>
  <c r="Q8"/>
  <c r="P51"/>
  <c r="P17"/>
  <c r="P18"/>
  <c r="P16"/>
  <c r="Q12"/>
  <c r="P45"/>
  <c r="P49"/>
  <c r="P50"/>
  <c r="P19"/>
  <c r="Q36"/>
  <c r="Q33"/>
  <c r="P35"/>
  <c r="Q28"/>
  <c r="P37"/>
  <c r="Q43"/>
  <c r="Q42"/>
  <c r="P10"/>
  <c r="K216" i="44"/>
  <c r="Q46" i="50"/>
  <c r="P52"/>
  <c r="Q47"/>
  <c r="Q17"/>
  <c r="Q15"/>
  <c r="P12"/>
  <c r="Q13"/>
  <c r="Q49"/>
  <c r="Q20"/>
  <c r="Q19"/>
  <c r="P36"/>
  <c r="Q39"/>
  <c r="Q38"/>
  <c r="Q35"/>
  <c r="Q29"/>
  <c r="Q32"/>
  <c r="Q27"/>
  <c r="P43"/>
  <c r="Q14"/>
  <c r="P21"/>
  <c r="P9"/>
  <c r="P8"/>
  <c r="P53"/>
  <c r="Q18"/>
  <c r="P11"/>
  <c r="Q50"/>
  <c r="P33"/>
  <c r="P31"/>
  <c r="P30"/>
  <c r="P28"/>
  <c r="K189" i="44"/>
  <c r="P14" i="50"/>
  <c r="Q52"/>
  <c r="Q21"/>
  <c r="Q9"/>
  <c r="J216" i="44"/>
  <c r="J214"/>
  <c r="P46" i="50"/>
  <c r="Q53"/>
  <c r="P47"/>
  <c r="P15"/>
  <c r="Q11"/>
  <c r="P13"/>
  <c r="Q48"/>
  <c r="P20"/>
  <c r="Q31"/>
  <c r="P39"/>
  <c r="Q30"/>
  <c r="P38"/>
  <c r="Q34"/>
  <c r="P29"/>
  <c r="P32"/>
  <c r="P40"/>
  <c r="P27"/>
  <c r="Q41"/>
  <c r="J176" i="44" l="1"/>
  <c r="K194"/>
  <c r="K180"/>
  <c r="K188"/>
  <c r="J194"/>
  <c r="K192"/>
  <c r="J186"/>
  <c r="J200"/>
  <c r="K197"/>
  <c r="K193"/>
  <c r="J179"/>
  <c r="J184"/>
  <c r="K186"/>
  <c r="J190"/>
  <c r="J191"/>
  <c r="K200"/>
  <c r="J165"/>
  <c r="J199"/>
  <c r="K173"/>
  <c r="J166"/>
  <c r="J180"/>
  <c r="J185"/>
  <c r="K202"/>
  <c r="J205"/>
  <c r="J160"/>
  <c r="J173"/>
  <c r="K176"/>
  <c r="K179"/>
  <c r="K184"/>
  <c r="K190"/>
  <c r="K171"/>
  <c r="K165"/>
  <c r="J164"/>
  <c r="K199"/>
  <c r="J204"/>
  <c r="J171"/>
  <c r="J202"/>
  <c r="K164"/>
  <c r="J170"/>
  <c r="K160"/>
  <c r="K195"/>
  <c r="J189"/>
  <c r="J187"/>
  <c r="K185"/>
  <c r="J193"/>
  <c r="K168"/>
  <c r="K203"/>
  <c r="J192"/>
  <c r="J181"/>
  <c r="K182"/>
  <c r="K183"/>
  <c r="J172"/>
  <c r="K163"/>
  <c r="J167"/>
  <c r="K205"/>
  <c r="J198"/>
  <c r="K161"/>
  <c r="K204"/>
  <c r="J182"/>
  <c r="J183"/>
  <c r="J163"/>
  <c r="K170"/>
  <c r="J161"/>
  <c r="K175"/>
  <c r="K166"/>
  <c r="J195"/>
  <c r="K181"/>
  <c r="K187"/>
  <c r="K191"/>
  <c r="J188"/>
  <c r="K172"/>
  <c r="K201"/>
  <c r="K167"/>
  <c r="K169"/>
  <c r="K198"/>
  <c r="J162"/>
  <c r="J201"/>
  <c r="J197"/>
  <c r="J168"/>
  <c r="J169"/>
  <c r="J203"/>
  <c r="K162"/>
  <c r="J175"/>
  <c r="G47"/>
  <c r="G67" s="1"/>
  <c r="G272"/>
  <c r="G292" s="1"/>
  <c r="G347"/>
  <c r="G367" s="1"/>
  <c r="G497"/>
  <c r="G517" s="1"/>
  <c r="G572"/>
  <c r="G592" s="1"/>
  <c r="G422"/>
  <c r="G442" s="1"/>
  <c r="H8"/>
  <c r="H233"/>
  <c r="H308"/>
  <c r="H533"/>
  <c r="H458"/>
  <c r="H383"/>
  <c r="K11" i="49" l="1"/>
  <c r="E388" i="44" s="1"/>
  <c r="L11" i="49"/>
  <c r="F388" i="44" s="1"/>
  <c r="L79" i="49"/>
  <c r="F456" i="44" s="1"/>
  <c r="K79" i="49"/>
  <c r="E456" i="44" s="1"/>
  <c r="L76" i="49"/>
  <c r="F453" i="44" s="1"/>
  <c r="K76" i="49"/>
  <c r="E453" i="44" s="1"/>
  <c r="L78" i="49"/>
  <c r="K78"/>
  <c r="L77"/>
  <c r="K77"/>
  <c r="K75"/>
  <c r="E452" i="44" s="1"/>
  <c r="L75" i="49"/>
  <c r="F452" i="44" s="1"/>
  <c r="K74" i="49"/>
  <c r="E451" i="44" s="1"/>
  <c r="L74" i="49"/>
  <c r="F451" i="44" s="1"/>
  <c r="K73" i="49"/>
  <c r="E450" i="44" s="1"/>
  <c r="L73" i="49"/>
  <c r="F450" i="44" s="1"/>
  <c r="K72" i="49"/>
  <c r="E449" i="44" s="1"/>
  <c r="L72" i="49"/>
  <c r="F449" i="44" s="1"/>
  <c r="K71" i="49"/>
  <c r="L71"/>
  <c r="K70"/>
  <c r="L70"/>
  <c r="K53"/>
  <c r="E430" i="44" s="1"/>
  <c r="L53" i="49"/>
  <c r="F430" i="44" s="1"/>
  <c r="K54" i="49"/>
  <c r="E431" i="44" s="1"/>
  <c r="L54" i="49"/>
  <c r="F431" i="44" s="1"/>
  <c r="K55" i="49"/>
  <c r="E432" i="44" s="1"/>
  <c r="L55" i="49"/>
  <c r="F432" i="44" s="1"/>
  <c r="K56" i="49"/>
  <c r="E433" i="44" s="1"/>
  <c r="L56" i="49"/>
  <c r="F433" i="44" s="1"/>
  <c r="K57" i="49"/>
  <c r="E434" i="44" s="1"/>
  <c r="L57" i="49"/>
  <c r="F434" i="44" s="1"/>
  <c r="K58" i="49"/>
  <c r="E435" i="44" s="1"/>
  <c r="L58" i="49"/>
  <c r="F435" i="44" s="1"/>
  <c r="K59" i="49"/>
  <c r="E436" i="44" s="1"/>
  <c r="L59" i="49"/>
  <c r="F436" i="44" s="1"/>
  <c r="K60" i="49"/>
  <c r="E437" i="44" s="1"/>
  <c r="L60" i="49"/>
  <c r="F437" i="44" s="1"/>
  <c r="K61" i="49"/>
  <c r="E438" i="44" s="1"/>
  <c r="L61" i="49"/>
  <c r="F438" i="44" s="1"/>
  <c r="K62" i="49"/>
  <c r="E439" i="44" s="1"/>
  <c r="L62" i="49"/>
  <c r="F439" i="44" s="1"/>
  <c r="K63" i="49"/>
  <c r="E440" i="44" s="1"/>
  <c r="L63" i="49"/>
  <c r="F440" i="44" s="1"/>
  <c r="K64" i="49"/>
  <c r="E441" i="44" s="1"/>
  <c r="L64" i="49"/>
  <c r="F441" i="44" s="1"/>
  <c r="K65" i="49"/>
  <c r="E442" i="44" s="1"/>
  <c r="L65" i="49"/>
  <c r="F442" i="44" s="1"/>
  <c r="K66" i="49"/>
  <c r="E443" i="44" s="1"/>
  <c r="L66" i="49"/>
  <c r="F443" i="44" s="1"/>
  <c r="K67" i="49"/>
  <c r="L67"/>
  <c r="K68"/>
  <c r="E445" i="44" s="1"/>
  <c r="L68" i="49"/>
  <c r="F445" i="44" s="1"/>
  <c r="K69" i="49"/>
  <c r="E446" i="44" s="1"/>
  <c r="L69" i="49"/>
  <c r="F446" i="44" s="1"/>
  <c r="K52" i="49"/>
  <c r="E429" i="44" s="1"/>
  <c r="L52" i="49"/>
  <c r="F429" i="44" s="1"/>
  <c r="K34" i="49"/>
  <c r="L34"/>
  <c r="K35"/>
  <c r="E412" i="44" s="1"/>
  <c r="L35" i="49"/>
  <c r="F412" i="44" s="1"/>
  <c r="K36" i="49"/>
  <c r="E413" i="44" s="1"/>
  <c r="L36" i="49"/>
  <c r="F413" i="44" s="1"/>
  <c r="K37" i="49"/>
  <c r="E414" i="44" s="1"/>
  <c r="L37" i="49"/>
  <c r="F414" i="44" s="1"/>
  <c r="L38" i="49"/>
  <c r="L39"/>
  <c r="F416" i="44" s="1"/>
  <c r="L40" i="49"/>
  <c r="F417" i="44" s="1"/>
  <c r="L41" i="49"/>
  <c r="F418" i="44" s="1"/>
  <c r="L42" i="49"/>
  <c r="L43"/>
  <c r="F420" i="44" s="1"/>
  <c r="L44" i="49"/>
  <c r="F421" i="44" s="1"/>
  <c r="L45" i="49"/>
  <c r="F422" i="44" s="1"/>
  <c r="L46" i="49"/>
  <c r="F423" i="44" s="1"/>
  <c r="L47" i="49"/>
  <c r="F424" i="44" s="1"/>
  <c r="L48" i="49"/>
  <c r="F425" i="44" s="1"/>
  <c r="L49" i="49"/>
  <c r="K27"/>
  <c r="E404" i="44" s="1"/>
  <c r="L27" i="49"/>
  <c r="F404" i="44" s="1"/>
  <c r="K28" i="49"/>
  <c r="E405" i="44" s="1"/>
  <c r="L28" i="49"/>
  <c r="F405" i="44" s="1"/>
  <c r="K29" i="49"/>
  <c r="E406" i="44" s="1"/>
  <c r="L29" i="49"/>
  <c r="F406" i="44" s="1"/>
  <c r="K30" i="49"/>
  <c r="E407" i="44" s="1"/>
  <c r="L30" i="49"/>
  <c r="F407" i="44" s="1"/>
  <c r="K31" i="49"/>
  <c r="E408" i="44" s="1"/>
  <c r="L31" i="49"/>
  <c r="F408" i="44" s="1"/>
  <c r="K32" i="49"/>
  <c r="E409" i="44" s="1"/>
  <c r="L32" i="49"/>
  <c r="F409" i="44" s="1"/>
  <c r="K33" i="49"/>
  <c r="E410" i="44" s="1"/>
  <c r="L33" i="49"/>
  <c r="F410" i="44" s="1"/>
  <c r="K13" i="49"/>
  <c r="E390" i="44" s="1"/>
  <c r="L13" i="49"/>
  <c r="F390" i="44" s="1"/>
  <c r="K14" i="49"/>
  <c r="E391" i="44" s="1"/>
  <c r="L14" i="49"/>
  <c r="F391" i="44" s="1"/>
  <c r="K15" i="49"/>
  <c r="E392" i="44" s="1"/>
  <c r="L15" i="49"/>
  <c r="F392" i="44" s="1"/>
  <c r="K16" i="49"/>
  <c r="E393" i="44" s="1"/>
  <c r="L16" i="49"/>
  <c r="F393" i="44" s="1"/>
  <c r="K17" i="49"/>
  <c r="E394" i="44" s="1"/>
  <c r="L17" i="49"/>
  <c r="F394" i="44" s="1"/>
  <c r="K18" i="49"/>
  <c r="E395" i="44" s="1"/>
  <c r="L18" i="49"/>
  <c r="F395" i="44" s="1"/>
  <c r="K19" i="49"/>
  <c r="E396" i="44" s="1"/>
  <c r="L19" i="49"/>
  <c r="F396" i="44" s="1"/>
  <c r="K20" i="49"/>
  <c r="E397" i="44" s="1"/>
  <c r="L20" i="49"/>
  <c r="F397" i="44" s="1"/>
  <c r="K21" i="49"/>
  <c r="E398" i="44" s="1"/>
  <c r="L21" i="49"/>
  <c r="F398" i="44" s="1"/>
  <c r="K22" i="49"/>
  <c r="E399" i="44" s="1"/>
  <c r="L22" i="49"/>
  <c r="F399" i="44" s="1"/>
  <c r="K23" i="49"/>
  <c r="E400" i="44" s="1"/>
  <c r="L23" i="49"/>
  <c r="F400" i="44" s="1"/>
  <c r="K24" i="49"/>
  <c r="E401" i="44" s="1"/>
  <c r="L24" i="49"/>
  <c r="F401" i="44" s="1"/>
  <c r="K25" i="49"/>
  <c r="E402" i="44" s="1"/>
  <c r="L25" i="49"/>
  <c r="F402" i="44" s="1"/>
  <c r="K26" i="49"/>
  <c r="E403" i="44" s="1"/>
  <c r="L26" i="49"/>
  <c r="F403" i="44" s="1"/>
  <c r="L12" i="49"/>
  <c r="F389" i="44" s="1"/>
  <c r="K12" i="49"/>
  <c r="E389" i="44" s="1"/>
  <c r="K8" i="49"/>
  <c r="L8"/>
  <c r="K9"/>
  <c r="E386" i="44" s="1"/>
  <c r="L9" i="49"/>
  <c r="F386" i="44" s="1"/>
  <c r="K10" i="49"/>
  <c r="E387" i="44" s="1"/>
  <c r="L10" i="49"/>
  <c r="F387" i="44" s="1"/>
  <c r="P10" i="49"/>
  <c r="P45"/>
  <c r="P48"/>
  <c r="Q35"/>
  <c r="Q24" l="1"/>
  <c r="F385" i="44"/>
  <c r="Q22" i="49"/>
  <c r="F411" i="44"/>
  <c r="Q25" i="49"/>
  <c r="F444" i="44"/>
  <c r="P24" i="49"/>
  <c r="E385" i="44"/>
  <c r="AB48" i="42"/>
  <c r="F419" i="44"/>
  <c r="Q19" i="49"/>
  <c r="F415" i="44"/>
  <c r="P22" i="49"/>
  <c r="E411" i="44"/>
  <c r="P25" i="49"/>
  <c r="E444" i="44"/>
  <c r="AB55" i="42"/>
  <c r="F426" i="44"/>
  <c r="P23" i="49"/>
  <c r="E454" i="44"/>
  <c r="Q23" i="49"/>
  <c r="F454" i="44"/>
  <c r="Z18" i="42"/>
  <c r="AW18"/>
  <c r="AB29"/>
  <c r="AX29"/>
  <c r="AB25"/>
  <c r="AX25"/>
  <c r="AB21"/>
  <c r="Q27" i="49"/>
  <c r="AB19" i="42"/>
  <c r="AX19"/>
  <c r="AB36"/>
  <c r="AX36"/>
  <c r="AB47"/>
  <c r="J426" i="44"/>
  <c r="AB73" i="42"/>
  <c r="AX73"/>
  <c r="AB69"/>
  <c r="AX69"/>
  <c r="AB65"/>
  <c r="AX65"/>
  <c r="Q47" i="49"/>
  <c r="AB61" i="42"/>
  <c r="AX61"/>
  <c r="Q44" i="49"/>
  <c r="AB77" i="42"/>
  <c r="AX81"/>
  <c r="AB81"/>
  <c r="AW84"/>
  <c r="Z84"/>
  <c r="Q9" i="49"/>
  <c r="Z29" i="42"/>
  <c r="AW29"/>
  <c r="BR29" s="1"/>
  <c r="AW25"/>
  <c r="Z25"/>
  <c r="Z21"/>
  <c r="AW38"/>
  <c r="Z38"/>
  <c r="Z34"/>
  <c r="AW34"/>
  <c r="AB44"/>
  <c r="J397" i="44"/>
  <c r="Z43" i="42"/>
  <c r="AW43"/>
  <c r="AW41"/>
  <c r="Z41"/>
  <c r="Z75"/>
  <c r="AW75"/>
  <c r="Z71"/>
  <c r="AW71"/>
  <c r="Z67"/>
  <c r="AW67"/>
  <c r="Z63"/>
  <c r="AW63"/>
  <c r="Z59"/>
  <c r="AW59"/>
  <c r="AW77"/>
  <c r="Z77"/>
  <c r="Z81"/>
  <c r="AW81"/>
  <c r="AX84"/>
  <c r="AB84"/>
  <c r="AX14"/>
  <c r="AB14"/>
  <c r="AB32"/>
  <c r="AB30"/>
  <c r="AX30"/>
  <c r="AB28"/>
  <c r="AX28"/>
  <c r="AB26"/>
  <c r="AX26"/>
  <c r="AB24"/>
  <c r="Q32" i="49"/>
  <c r="AX22" i="42"/>
  <c r="AB22"/>
  <c r="Q40" i="49"/>
  <c r="AB20" i="42"/>
  <c r="AX39"/>
  <c r="AB39"/>
  <c r="AB37"/>
  <c r="AB35"/>
  <c r="AX35"/>
  <c r="AX33"/>
  <c r="AB33"/>
  <c r="AB53"/>
  <c r="Q50" i="49"/>
  <c r="AB46" i="42"/>
  <c r="AX46"/>
  <c r="BR46" s="1"/>
  <c r="AX42"/>
  <c r="AB42"/>
  <c r="AB40"/>
  <c r="AX40"/>
  <c r="AB58"/>
  <c r="AX58"/>
  <c r="AB74"/>
  <c r="AB72"/>
  <c r="AX72"/>
  <c r="AB70"/>
  <c r="J439" i="44"/>
  <c r="AB68" i="42"/>
  <c r="AX66"/>
  <c r="AB66"/>
  <c r="Q52" i="49"/>
  <c r="AX64" i="42"/>
  <c r="AB64"/>
  <c r="AB62"/>
  <c r="AB60"/>
  <c r="AB76"/>
  <c r="AX76"/>
  <c r="F447" i="44"/>
  <c r="AB78" i="42"/>
  <c r="AX78"/>
  <c r="AB80"/>
  <c r="J387" i="44"/>
  <c r="Z83" i="42"/>
  <c r="Z82"/>
  <c r="AB17"/>
  <c r="AB15"/>
  <c r="AX15"/>
  <c r="AB31"/>
  <c r="J416" i="44"/>
  <c r="Q38" i="49"/>
  <c r="AX27" i="42"/>
  <c r="AB27"/>
  <c r="Q29" i="49"/>
  <c r="AX23" i="42"/>
  <c r="AB23"/>
  <c r="AX38"/>
  <c r="AB38"/>
  <c r="AX34"/>
  <c r="AB34"/>
  <c r="AB43"/>
  <c r="AB41"/>
  <c r="AX41"/>
  <c r="AB75"/>
  <c r="AX75"/>
  <c r="AB67"/>
  <c r="AB63"/>
  <c r="AX63"/>
  <c r="AB59"/>
  <c r="AX59"/>
  <c r="AB79"/>
  <c r="AW85"/>
  <c r="Z85"/>
  <c r="Q28" i="49"/>
  <c r="Z15" i="42"/>
  <c r="AW15"/>
  <c r="BR15" s="1"/>
  <c r="Z31"/>
  <c r="Z27"/>
  <c r="AW27"/>
  <c r="Z23"/>
  <c r="AW23"/>
  <c r="Z19"/>
  <c r="AW19"/>
  <c r="AW36"/>
  <c r="BR36" s="1"/>
  <c r="Z36"/>
  <c r="AB54"/>
  <c r="J395" i="44"/>
  <c r="Q12" i="49"/>
  <c r="AB51" i="42"/>
  <c r="AX51"/>
  <c r="BR51" s="1"/>
  <c r="Q11" i="49"/>
  <c r="AB49" i="42"/>
  <c r="AX49"/>
  <c r="BR49" s="1"/>
  <c r="Z73"/>
  <c r="AW73"/>
  <c r="AW69"/>
  <c r="BR69" s="1"/>
  <c r="Z69"/>
  <c r="Z65"/>
  <c r="AW65"/>
  <c r="AW61"/>
  <c r="Z61"/>
  <c r="Z79"/>
  <c r="AB85"/>
  <c r="AX85"/>
  <c r="Q41" i="49"/>
  <c r="AB16" i="42"/>
  <c r="AX16"/>
  <c r="AW16"/>
  <c r="Z16"/>
  <c r="AW14"/>
  <c r="Z14"/>
  <c r="Z32"/>
  <c r="Z30"/>
  <c r="AW30"/>
  <c r="AW28"/>
  <c r="BR28" s="1"/>
  <c r="Z28"/>
  <c r="AW26"/>
  <c r="Z26"/>
  <c r="AW24"/>
  <c r="Z24"/>
  <c r="AW22"/>
  <c r="Z22"/>
  <c r="AW20"/>
  <c r="Z20"/>
  <c r="Z39"/>
  <c r="AW39"/>
  <c r="Z37"/>
  <c r="Z35"/>
  <c r="AW35"/>
  <c r="AW33"/>
  <c r="Z33"/>
  <c r="Q15" i="49"/>
  <c r="AB52" i="42"/>
  <c r="AX52"/>
  <c r="BR52" s="1"/>
  <c r="AB50"/>
  <c r="Q48" i="49"/>
  <c r="AB45" i="42"/>
  <c r="AX45"/>
  <c r="BR45" s="1"/>
  <c r="AW42"/>
  <c r="BR42" s="1"/>
  <c r="Z42"/>
  <c r="AW40"/>
  <c r="BR40" s="1"/>
  <c r="Z40"/>
  <c r="AW58"/>
  <c r="BR58" s="1"/>
  <c r="Z58"/>
  <c r="Z74"/>
  <c r="AW74"/>
  <c r="AW72"/>
  <c r="BR72" s="1"/>
  <c r="Z72"/>
  <c r="AW70"/>
  <c r="Z70"/>
  <c r="Z68"/>
  <c r="AW66"/>
  <c r="BR66" s="1"/>
  <c r="Z66"/>
  <c r="AW64"/>
  <c r="Z64"/>
  <c r="Z62"/>
  <c r="AW62"/>
  <c r="Z60"/>
  <c r="AW76"/>
  <c r="BR76" s="1"/>
  <c r="Z76"/>
  <c r="E447" i="44"/>
  <c r="Z78" i="42"/>
  <c r="AW78"/>
  <c r="BR78" s="1"/>
  <c r="Z80"/>
  <c r="AB83"/>
  <c r="AB82"/>
  <c r="AW17"/>
  <c r="Z17"/>
  <c r="J420" i="44"/>
  <c r="AB18" i="42"/>
  <c r="J440" i="44"/>
  <c r="AB71" i="42"/>
  <c r="J390" i="44"/>
  <c r="P52" i="49"/>
  <c r="Q39"/>
  <c r="P13"/>
  <c r="Q65"/>
  <c r="P14"/>
  <c r="P21"/>
  <c r="P15"/>
  <c r="Q43"/>
  <c r="P32"/>
  <c r="P35"/>
  <c r="Q49"/>
  <c r="P8"/>
  <c r="Q17"/>
  <c r="P30"/>
  <c r="P20"/>
  <c r="J394" i="44"/>
  <c r="P33" i="49"/>
  <c r="P49"/>
  <c r="Q18"/>
  <c r="P17"/>
  <c r="P36"/>
  <c r="P47"/>
  <c r="Q31"/>
  <c r="P39"/>
  <c r="Q63"/>
  <c r="P60"/>
  <c r="Q13"/>
  <c r="Q10"/>
  <c r="Q58"/>
  <c r="Q64"/>
  <c r="P63"/>
  <c r="Q8"/>
  <c r="P65"/>
  <c r="Q42"/>
  <c r="J414" i="44"/>
  <c r="P41" i="49"/>
  <c r="P38"/>
  <c r="P31"/>
  <c r="Q20"/>
  <c r="P51"/>
  <c r="P43"/>
  <c r="P58"/>
  <c r="P28"/>
  <c r="P37"/>
  <c r="P16"/>
  <c r="Q45"/>
  <c r="P11"/>
  <c r="P64"/>
  <c r="Q46"/>
  <c r="P42"/>
  <c r="Q30"/>
  <c r="Q34"/>
  <c r="P29"/>
  <c r="P27"/>
  <c r="Q59"/>
  <c r="Q33"/>
  <c r="P61"/>
  <c r="P62"/>
  <c r="P44"/>
  <c r="Q14"/>
  <c r="P59"/>
  <c r="Q16"/>
  <c r="Q21"/>
  <c r="P40"/>
  <c r="Q37"/>
  <c r="P34"/>
  <c r="P19"/>
  <c r="Q36"/>
  <c r="P12"/>
  <c r="Q51"/>
  <c r="P53"/>
  <c r="K420" i="44"/>
  <c r="Q61" i="49"/>
  <c r="P18"/>
  <c r="P50"/>
  <c r="Q62"/>
  <c r="Q60"/>
  <c r="P46"/>
  <c r="Q53"/>
  <c r="P9"/>
  <c r="K290" i="44"/>
  <c r="J283"/>
  <c r="J55" i="45" s="1"/>
  <c r="K283" i="44"/>
  <c r="K55" i="45" s="1"/>
  <c r="AS29" i="42"/>
  <c r="AT29"/>
  <c r="BR64" l="1"/>
  <c r="BR61"/>
  <c r="BR19"/>
  <c r="BR25"/>
  <c r="BR30"/>
  <c r="BR27"/>
  <c r="BR81"/>
  <c r="BR16"/>
  <c r="BR39"/>
  <c r="BR38"/>
  <c r="BR35"/>
  <c r="BR22"/>
  <c r="BR23"/>
  <c r="BR75"/>
  <c r="BP29"/>
  <c r="BR26"/>
  <c r="BR14"/>
  <c r="BR65"/>
  <c r="BR73"/>
  <c r="BR59"/>
  <c r="BR41"/>
  <c r="BR33"/>
  <c r="BR34"/>
  <c r="BR84"/>
  <c r="BR85"/>
  <c r="BR63"/>
  <c r="K426" i="44"/>
  <c r="K387"/>
  <c r="K437"/>
  <c r="K395"/>
  <c r="K397"/>
  <c r="K439"/>
  <c r="J441"/>
  <c r="J437"/>
  <c r="K416"/>
  <c r="K394"/>
  <c r="J436"/>
  <c r="K414"/>
  <c r="J435"/>
  <c r="K440"/>
  <c r="K390"/>
  <c r="K436"/>
  <c r="K435"/>
  <c r="K441"/>
  <c r="L55" i="45"/>
  <c r="O55" s="1"/>
  <c r="P55" s="1"/>
  <c r="J417" i="44"/>
  <c r="K417"/>
  <c r="K388"/>
  <c r="J388"/>
  <c r="J413"/>
  <c r="K413"/>
  <c r="K400"/>
  <c r="J400"/>
  <c r="K430"/>
  <c r="J430"/>
  <c r="J406"/>
  <c r="K406"/>
  <c r="J392"/>
  <c r="K392"/>
  <c r="K410"/>
  <c r="J410"/>
  <c r="J424"/>
  <c r="K424"/>
  <c r="K409"/>
  <c r="J409"/>
  <c r="J408"/>
  <c r="K408"/>
  <c r="J396"/>
  <c r="K396"/>
  <c r="K404"/>
  <c r="J404"/>
  <c r="J415"/>
  <c r="K415"/>
  <c r="J418"/>
  <c r="K418"/>
  <c r="J405"/>
  <c r="K405"/>
  <c r="K391"/>
  <c r="K412"/>
  <c r="J412"/>
  <c r="K429"/>
  <c r="K399"/>
  <c r="J399"/>
  <c r="J398"/>
  <c r="K398"/>
  <c r="K393"/>
  <c r="J393"/>
  <c r="J407"/>
  <c r="K407"/>
  <c r="J423"/>
  <c r="K423"/>
  <c r="J427"/>
  <c r="K427"/>
  <c r="K389"/>
  <c r="J389"/>
  <c r="J401"/>
  <c r="K401"/>
  <c r="K425"/>
  <c r="J425"/>
  <c r="K411"/>
  <c r="J411"/>
  <c r="J386"/>
  <c r="K386"/>
  <c r="K422"/>
  <c r="J422"/>
  <c r="J419"/>
  <c r="K419"/>
  <c r="J385"/>
  <c r="K385"/>
  <c r="K428"/>
  <c r="J290"/>
  <c r="K74" i="48"/>
  <c r="E301" i="44" s="1"/>
  <c r="M301" s="1"/>
  <c r="L74" i="48"/>
  <c r="F301" i="44" s="1"/>
  <c r="N301" s="1"/>
  <c r="K75" i="48"/>
  <c r="E302" i="44" s="1"/>
  <c r="M302" s="1"/>
  <c r="L75" i="48"/>
  <c r="F302" i="44" s="1"/>
  <c r="N302" s="1"/>
  <c r="K76" i="48"/>
  <c r="E303" i="44" s="1"/>
  <c r="M303" s="1"/>
  <c r="L76" i="48"/>
  <c r="F303" i="44" s="1"/>
  <c r="N303" s="1"/>
  <c r="K77" i="48"/>
  <c r="E304" i="44" s="1"/>
  <c r="M304" s="1"/>
  <c r="K250"/>
  <c r="K78" i="48"/>
  <c r="L78"/>
  <c r="T84" i="42" s="1"/>
  <c r="K73" i="48"/>
  <c r="E300" i="44" s="1"/>
  <c r="M300" s="1"/>
  <c r="L73" i="48"/>
  <c r="F300" i="44" s="1"/>
  <c r="N300" s="1"/>
  <c r="K67" i="48"/>
  <c r="E294" i="44" s="1"/>
  <c r="M294" s="1"/>
  <c r="L67" i="48"/>
  <c r="F294" i="44" s="1"/>
  <c r="N294" s="1"/>
  <c r="K68" i="48"/>
  <c r="E295" i="44" s="1"/>
  <c r="M295" s="1"/>
  <c r="L68" i="48"/>
  <c r="F295" i="44" s="1"/>
  <c r="N295" s="1"/>
  <c r="K69" i="48"/>
  <c r="E296" i="44" s="1"/>
  <c r="M296" s="1"/>
  <c r="L69" i="48"/>
  <c r="F296" i="44" s="1"/>
  <c r="N296" s="1"/>
  <c r="K70" i="48"/>
  <c r="L70"/>
  <c r="K71"/>
  <c r="E298" i="44" s="1"/>
  <c r="M298" s="1"/>
  <c r="L71" i="48"/>
  <c r="F298" i="44" s="1"/>
  <c r="N298" s="1"/>
  <c r="K66" i="48"/>
  <c r="L66"/>
  <c r="K55"/>
  <c r="E282" i="44" s="1"/>
  <c r="M282" s="1"/>
  <c r="L55" i="48"/>
  <c r="F282" i="44" s="1"/>
  <c r="N282" s="1"/>
  <c r="K56" i="48"/>
  <c r="E283" i="44" s="1"/>
  <c r="M283" s="1"/>
  <c r="L56" i="48"/>
  <c r="F283" i="44" s="1"/>
  <c r="N283" s="1"/>
  <c r="K57" i="48"/>
  <c r="E284" i="44" s="1"/>
  <c r="M284" s="1"/>
  <c r="L57" i="48"/>
  <c r="F284" i="44" s="1"/>
  <c r="N284" s="1"/>
  <c r="K58" i="48"/>
  <c r="E285" i="44" s="1"/>
  <c r="M285" s="1"/>
  <c r="L58" i="48"/>
  <c r="F285" i="44" s="1"/>
  <c r="N285" s="1"/>
  <c r="K59" i="48"/>
  <c r="E286" i="44" s="1"/>
  <c r="M286" s="1"/>
  <c r="L59" i="48"/>
  <c r="F286" i="44" s="1"/>
  <c r="N286" s="1"/>
  <c r="K60" i="48"/>
  <c r="L60"/>
  <c r="K61"/>
  <c r="E288" i="44" s="1"/>
  <c r="M288" s="1"/>
  <c r="L61" i="48"/>
  <c r="F288" i="44" s="1"/>
  <c r="N288" s="1"/>
  <c r="K62" i="48"/>
  <c r="E289" i="44" s="1"/>
  <c r="M289" s="1"/>
  <c r="L62" i="48"/>
  <c r="F289" i="44" s="1"/>
  <c r="N289" s="1"/>
  <c r="K63" i="48"/>
  <c r="E290" i="44" s="1"/>
  <c r="M290" s="1"/>
  <c r="L63" i="48"/>
  <c r="F290" i="44" s="1"/>
  <c r="N290" s="1"/>
  <c r="K64" i="48"/>
  <c r="L64"/>
  <c r="K54"/>
  <c r="E281" i="44" s="1"/>
  <c r="M281" s="1"/>
  <c r="L54" i="48"/>
  <c r="F281" i="44" s="1"/>
  <c r="N281" s="1"/>
  <c r="K25" i="48"/>
  <c r="L25"/>
  <c r="F252" i="44" s="1"/>
  <c r="N252" s="1"/>
  <c r="K26" i="48"/>
  <c r="L26"/>
  <c r="F253" i="44" s="1"/>
  <c r="N253" s="1"/>
  <c r="K27" i="48"/>
  <c r="L27"/>
  <c r="F254" i="44" s="1"/>
  <c r="N254" s="1"/>
  <c r="K28" i="48"/>
  <c r="E255" i="44" s="1"/>
  <c r="M255" s="1"/>
  <c r="L28" i="48"/>
  <c r="F255" i="44" s="1"/>
  <c r="N255" s="1"/>
  <c r="K29" i="48"/>
  <c r="L29"/>
  <c r="F256" i="44" s="1"/>
  <c r="N256" s="1"/>
  <c r="K30" i="48"/>
  <c r="L30"/>
  <c r="F257" i="44" s="1"/>
  <c r="N257" s="1"/>
  <c r="K31" i="48"/>
  <c r="L31"/>
  <c r="K32"/>
  <c r="L32"/>
  <c r="F259" i="44" s="1"/>
  <c r="N259" s="1"/>
  <c r="K33" i="48"/>
  <c r="L33"/>
  <c r="F260" i="44" s="1"/>
  <c r="N260" s="1"/>
  <c r="K34" i="48"/>
  <c r="L34"/>
  <c r="F261" i="44" s="1"/>
  <c r="N261" s="1"/>
  <c r="K35" i="48"/>
  <c r="L35"/>
  <c r="F262" i="44" s="1"/>
  <c r="N262" s="1"/>
  <c r="K36" i="48"/>
  <c r="L36"/>
  <c r="F263" i="44" s="1"/>
  <c r="N263" s="1"/>
  <c r="K37" i="48"/>
  <c r="L37"/>
  <c r="F264" i="44" s="1"/>
  <c r="N264" s="1"/>
  <c r="K38" i="48"/>
  <c r="L38"/>
  <c r="F265" i="44" s="1"/>
  <c r="N265" s="1"/>
  <c r="K39" i="48"/>
  <c r="L39"/>
  <c r="F266" i="44" s="1"/>
  <c r="N266" s="1"/>
  <c r="K40" i="48"/>
  <c r="E267" i="44" s="1"/>
  <c r="M267" s="1"/>
  <c r="L40" i="48"/>
  <c r="F267" i="44" s="1"/>
  <c r="N267" s="1"/>
  <c r="K41" i="48"/>
  <c r="L41"/>
  <c r="F268" i="44" s="1"/>
  <c r="N268" s="1"/>
  <c r="K42" i="48"/>
  <c r="E269" i="44" s="1"/>
  <c r="M269" s="1"/>
  <c r="L42" i="48"/>
  <c r="F269" i="44" s="1"/>
  <c r="N269" s="1"/>
  <c r="K43" i="48"/>
  <c r="L43"/>
  <c r="F270" i="44" s="1"/>
  <c r="N270" s="1"/>
  <c r="K44" i="48"/>
  <c r="E271" i="44" s="1"/>
  <c r="M271" s="1"/>
  <c r="L44" i="48"/>
  <c r="F271" i="44" s="1"/>
  <c r="N271" s="1"/>
  <c r="K45" i="48"/>
  <c r="L45"/>
  <c r="F272" i="44" s="1"/>
  <c r="N272" s="1"/>
  <c r="K46" i="48"/>
  <c r="L46"/>
  <c r="F273" i="44" s="1"/>
  <c r="N273" s="1"/>
  <c r="K47" i="48"/>
  <c r="L47"/>
  <c r="F274" i="44" s="1"/>
  <c r="N274" s="1"/>
  <c r="K48" i="48"/>
  <c r="E275" i="44" s="1"/>
  <c r="M275" s="1"/>
  <c r="L48" i="48"/>
  <c r="F275" i="44" s="1"/>
  <c r="N275" s="1"/>
  <c r="K49" i="48"/>
  <c r="L49"/>
  <c r="K51"/>
  <c r="L51"/>
  <c r="F278" i="44" s="1"/>
  <c r="N278" s="1"/>
  <c r="K52" i="48"/>
  <c r="E279" i="44" s="1"/>
  <c r="M279" s="1"/>
  <c r="L52" i="48"/>
  <c r="F279" i="44" s="1"/>
  <c r="N279" s="1"/>
  <c r="K53" i="48"/>
  <c r="E280" i="44" s="1"/>
  <c r="M280" s="1"/>
  <c r="L53" i="48"/>
  <c r="F280" i="44" s="1"/>
  <c r="N280" s="1"/>
  <c r="K24" i="48"/>
  <c r="L24"/>
  <c r="K9"/>
  <c r="L9"/>
  <c r="F236" i="44" s="1"/>
  <c r="N236" s="1"/>
  <c r="K10" i="48"/>
  <c r="E237" i="44" s="1"/>
  <c r="M237" s="1"/>
  <c r="L10" i="48"/>
  <c r="F237" i="44" s="1"/>
  <c r="N237" s="1"/>
  <c r="K11" i="48"/>
  <c r="L11"/>
  <c r="F238" i="44" s="1"/>
  <c r="N238" s="1"/>
  <c r="K12" i="48"/>
  <c r="L12"/>
  <c r="F239" i="44" s="1"/>
  <c r="N239" s="1"/>
  <c r="K13" i="48"/>
  <c r="E240" i="44" s="1"/>
  <c r="M240" s="1"/>
  <c r="L13" i="48"/>
  <c r="F240" i="44" s="1"/>
  <c r="N240" s="1"/>
  <c r="K14" i="48"/>
  <c r="E241" i="44" s="1"/>
  <c r="M241" s="1"/>
  <c r="L14" i="48"/>
  <c r="F241" i="44" s="1"/>
  <c r="N241" s="1"/>
  <c r="K15" i="48"/>
  <c r="L15"/>
  <c r="F242" i="44" s="1"/>
  <c r="N242" s="1"/>
  <c r="K16" i="48"/>
  <c r="L16"/>
  <c r="F243" i="44" s="1"/>
  <c r="N243" s="1"/>
  <c r="K17" i="48"/>
  <c r="L17"/>
  <c r="F244" i="44" s="1"/>
  <c r="N244" s="1"/>
  <c r="K18" i="48"/>
  <c r="E245" i="44" s="1"/>
  <c r="M245" s="1"/>
  <c r="L18" i="48"/>
  <c r="F245" i="44" s="1"/>
  <c r="N245" s="1"/>
  <c r="K19" i="48"/>
  <c r="L19"/>
  <c r="F246" i="44" s="1"/>
  <c r="N246" s="1"/>
  <c r="K20" i="48"/>
  <c r="E247" i="44" s="1"/>
  <c r="M247" s="1"/>
  <c r="L20" i="48"/>
  <c r="F247" i="44" s="1"/>
  <c r="N247" s="1"/>
  <c r="K21" i="48"/>
  <c r="L21"/>
  <c r="F248" i="44" s="1"/>
  <c r="N248" s="1"/>
  <c r="K22" i="48"/>
  <c r="E249" i="44" s="1"/>
  <c r="M249" s="1"/>
  <c r="L22" i="48"/>
  <c r="F249" i="44" s="1"/>
  <c r="N249" s="1"/>
  <c r="L8" i="48"/>
  <c r="F235" i="44" s="1"/>
  <c r="N235" s="1"/>
  <c r="K8" i="48"/>
  <c r="E235" i="44" s="1"/>
  <c r="M235" s="1"/>
  <c r="P64" i="48" l="1"/>
  <c r="E293" i="44"/>
  <c r="Q64" i="48"/>
  <c r="F293" i="44"/>
  <c r="N293" s="1"/>
  <c r="P60" i="48"/>
  <c r="E287" i="44"/>
  <c r="M287" s="1"/>
  <c r="Q60" i="48"/>
  <c r="F287" i="44"/>
  <c r="R57" i="42"/>
  <c r="E278" i="44"/>
  <c r="M278" s="1"/>
  <c r="P61" i="48"/>
  <c r="R53" i="42"/>
  <c r="E274" i="44"/>
  <c r="M274" s="1"/>
  <c r="R55" i="42"/>
  <c r="E276" i="44"/>
  <c r="Q61" i="48"/>
  <c r="F276" i="44"/>
  <c r="N276" s="1"/>
  <c r="R52" i="42"/>
  <c r="E273" i="44"/>
  <c r="R51" i="42"/>
  <c r="E272" i="44"/>
  <c r="R47" i="42"/>
  <c r="E268" i="44"/>
  <c r="R49" i="42"/>
  <c r="E270" i="44"/>
  <c r="R45" i="42"/>
  <c r="E266" i="44"/>
  <c r="M266" s="1"/>
  <c r="R44" i="42"/>
  <c r="E265" i="44"/>
  <c r="M265" s="1"/>
  <c r="R43" i="42"/>
  <c r="E264" i="44"/>
  <c r="M264" s="1"/>
  <c r="R41" i="42"/>
  <c r="E262" i="44"/>
  <c r="M262" s="1"/>
  <c r="R39" i="42"/>
  <c r="E260" i="44"/>
  <c r="M260" s="1"/>
  <c r="R42" i="42"/>
  <c r="E263" i="44"/>
  <c r="M263" s="1"/>
  <c r="R40" i="42"/>
  <c r="E261" i="44"/>
  <c r="M261" s="1"/>
  <c r="R38" i="42"/>
  <c r="E259" i="44"/>
  <c r="M259" s="1"/>
  <c r="R30" i="42"/>
  <c r="P58" i="48"/>
  <c r="E251" i="44"/>
  <c r="M251" s="1"/>
  <c r="R37" i="42"/>
  <c r="P59" i="48"/>
  <c r="E258" i="44"/>
  <c r="M258" s="1"/>
  <c r="R35" i="42"/>
  <c r="E256" i="44"/>
  <c r="M256" s="1"/>
  <c r="R33" i="42"/>
  <c r="E254" i="44"/>
  <c r="R31" i="42"/>
  <c r="E252" i="44"/>
  <c r="M252" s="1"/>
  <c r="R36" i="42"/>
  <c r="E257" i="44"/>
  <c r="M257" s="1"/>
  <c r="R32" i="42"/>
  <c r="E253" i="44"/>
  <c r="M253" s="1"/>
  <c r="Q58" i="48"/>
  <c r="F251" i="44"/>
  <c r="N251" s="1"/>
  <c r="Q59" i="48"/>
  <c r="F258" i="44"/>
  <c r="N258" s="1"/>
  <c r="R22" i="42"/>
  <c r="E243" i="44"/>
  <c r="R27" i="42"/>
  <c r="E248" i="44"/>
  <c r="R25" i="42"/>
  <c r="E246" i="44"/>
  <c r="R23" i="42"/>
  <c r="E244" i="44"/>
  <c r="R21" i="42"/>
  <c r="E242" i="44"/>
  <c r="R18" i="42"/>
  <c r="E239" i="44"/>
  <c r="M239" s="1"/>
  <c r="R17" i="42"/>
  <c r="E238" i="44"/>
  <c r="R15" i="42"/>
  <c r="E236" i="44"/>
  <c r="M236" s="1"/>
  <c r="P27" i="48"/>
  <c r="R19" i="42"/>
  <c r="P11" i="48"/>
  <c r="R50" i="42"/>
  <c r="P48" i="48"/>
  <c r="R46" i="42"/>
  <c r="P36" i="48"/>
  <c r="R34" i="42"/>
  <c r="R60"/>
  <c r="R67"/>
  <c r="R63"/>
  <c r="R77"/>
  <c r="R75"/>
  <c r="R73"/>
  <c r="AS84"/>
  <c r="R84"/>
  <c r="R82"/>
  <c r="R80"/>
  <c r="R59"/>
  <c r="P16" i="48"/>
  <c r="R54" i="42"/>
  <c r="R65"/>
  <c r="P51" i="48"/>
  <c r="P40"/>
  <c r="R20" i="42"/>
  <c r="P41" i="48"/>
  <c r="R16" i="42"/>
  <c r="R58"/>
  <c r="AS70"/>
  <c r="R70"/>
  <c r="R68"/>
  <c r="R66"/>
  <c r="R64"/>
  <c r="R62"/>
  <c r="R72"/>
  <c r="R76"/>
  <c r="R74"/>
  <c r="R79"/>
  <c r="J250" i="44"/>
  <c r="R83" i="42"/>
  <c r="R81"/>
  <c r="P49" i="48"/>
  <c r="R48" i="42"/>
  <c r="R69"/>
  <c r="R61"/>
  <c r="P30" i="48"/>
  <c r="R28" i="42"/>
  <c r="P35" i="48"/>
  <c r="R26" i="42"/>
  <c r="P34" i="48"/>
  <c r="R24" i="42"/>
  <c r="R14"/>
  <c r="T25"/>
  <c r="Q37" i="48"/>
  <c r="T21" i="42"/>
  <c r="T17"/>
  <c r="T59"/>
  <c r="Q16" i="48"/>
  <c r="T54" i="42"/>
  <c r="J243" i="44"/>
  <c r="T50" i="42"/>
  <c r="Q48" i="48"/>
  <c r="T46" i="42"/>
  <c r="J275" i="44"/>
  <c r="T42" i="42"/>
  <c r="T38"/>
  <c r="T34"/>
  <c r="J263" i="44"/>
  <c r="T60" i="42"/>
  <c r="J244" i="44"/>
  <c r="T67" i="42"/>
  <c r="T63"/>
  <c r="J278" i="44"/>
  <c r="T80" i="42"/>
  <c r="J237" i="44"/>
  <c r="T26" i="42"/>
  <c r="J262" i="44"/>
  <c r="T22" i="42"/>
  <c r="T18"/>
  <c r="J270" i="44"/>
  <c r="T30" i="42"/>
  <c r="T55"/>
  <c r="T53"/>
  <c r="J242" i="44"/>
  <c r="Q45" i="48"/>
  <c r="T51" i="42"/>
  <c r="Q50" i="48"/>
  <c r="T47" i="42"/>
  <c r="T45"/>
  <c r="J247" i="44"/>
  <c r="T43" i="42"/>
  <c r="T41"/>
  <c r="T39"/>
  <c r="T37"/>
  <c r="T35"/>
  <c r="Q39" i="48"/>
  <c r="T31" i="42"/>
  <c r="J266" i="44"/>
  <c r="T70" i="42"/>
  <c r="T68"/>
  <c r="T66"/>
  <c r="T64"/>
  <c r="J279" i="44"/>
  <c r="T62" i="42"/>
  <c r="J280" i="44"/>
  <c r="T72" i="42"/>
  <c r="T76"/>
  <c r="T74"/>
  <c r="T79"/>
  <c r="T81"/>
  <c r="J236" i="44"/>
  <c r="T27" i="42"/>
  <c r="T23"/>
  <c r="T19"/>
  <c r="T15"/>
  <c r="J241" i="44"/>
  <c r="T57" i="42"/>
  <c r="Q12" i="48"/>
  <c r="T52" i="42"/>
  <c r="T48"/>
  <c r="J276" i="44"/>
  <c r="T44" i="42"/>
  <c r="T40"/>
  <c r="T36"/>
  <c r="T32"/>
  <c r="T69"/>
  <c r="T65"/>
  <c r="J273" i="44"/>
  <c r="T61" i="42"/>
  <c r="J274" i="44"/>
  <c r="T77" i="42"/>
  <c r="J271" i="44"/>
  <c r="T75" i="42"/>
  <c r="T73"/>
  <c r="T82"/>
  <c r="J248" i="44"/>
  <c r="Q24" i="48"/>
  <c r="T14" i="42"/>
  <c r="J251" i="44"/>
  <c r="T28" i="42"/>
  <c r="J257" i="44"/>
  <c r="T24" i="42"/>
  <c r="J261" i="44"/>
  <c r="T20" i="42"/>
  <c r="J267" i="44"/>
  <c r="T16" i="42"/>
  <c r="J268" i="44"/>
  <c r="T58" i="42"/>
  <c r="T49"/>
  <c r="T33"/>
  <c r="J289" i="44"/>
  <c r="P47" i="48"/>
  <c r="J287" i="44"/>
  <c r="P52" i="48"/>
  <c r="Q51"/>
  <c r="P8"/>
  <c r="J235" i="44"/>
  <c r="Q52" i="48"/>
  <c r="P23"/>
  <c r="Q46"/>
  <c r="Q47"/>
  <c r="Q8"/>
  <c r="J428" i="44"/>
  <c r="J391"/>
  <c r="J429"/>
  <c r="P38" i="48"/>
  <c r="P29"/>
  <c r="Q40"/>
  <c r="J254" i="44"/>
  <c r="Q41" i="48"/>
  <c r="P14"/>
  <c r="Q15"/>
  <c r="P12"/>
  <c r="Q13"/>
  <c r="Q20"/>
  <c r="P19"/>
  <c r="P22"/>
  <c r="P31"/>
  <c r="P46"/>
  <c r="Q53"/>
  <c r="Q21"/>
  <c r="P9"/>
  <c r="Q34"/>
  <c r="Q30"/>
  <c r="Q33"/>
  <c r="Q28"/>
  <c r="K255" i="44"/>
  <c r="Q42" i="48"/>
  <c r="Q11"/>
  <c r="K238" i="44"/>
  <c r="P13" i="48"/>
  <c r="P20"/>
  <c r="Q36"/>
  <c r="P33"/>
  <c r="P53"/>
  <c r="Q44"/>
  <c r="Q25"/>
  <c r="Q23"/>
  <c r="P21"/>
  <c r="P15"/>
  <c r="P24"/>
  <c r="Q35"/>
  <c r="P28"/>
  <c r="Q32"/>
  <c r="K259" i="44"/>
  <c r="P37" i="48"/>
  <c r="Q43"/>
  <c r="P42"/>
  <c r="Q18"/>
  <c r="J238" i="44"/>
  <c r="P44" i="48"/>
  <c r="P25"/>
  <c r="Q10"/>
  <c r="Q17"/>
  <c r="Q38"/>
  <c r="K265" i="44"/>
  <c r="Q29" i="48"/>
  <c r="P32"/>
  <c r="Q27"/>
  <c r="K254" i="44"/>
  <c r="P43" i="48"/>
  <c r="Q14"/>
  <c r="K288" i="44"/>
  <c r="P18" i="48"/>
  <c r="P45"/>
  <c r="Q49"/>
  <c r="P50"/>
  <c r="Q19"/>
  <c r="Q22"/>
  <c r="Q31"/>
  <c r="P39"/>
  <c r="P17"/>
  <c r="P10"/>
  <c r="Q9"/>
  <c r="J482" i="44"/>
  <c r="K498"/>
  <c r="J503"/>
  <c r="K504"/>
  <c r="J504"/>
  <c r="K503"/>
  <c r="J498"/>
  <c r="K488"/>
  <c r="J488"/>
  <c r="J476"/>
  <c r="J466"/>
  <c r="K466"/>
  <c r="K476"/>
  <c r="AY15" i="42"/>
  <c r="AZ15"/>
  <c r="AY34"/>
  <c r="AZ34"/>
  <c r="AY35"/>
  <c r="AZ35"/>
  <c r="AY63"/>
  <c r="AZ63"/>
  <c r="AY64"/>
  <c r="AZ64"/>
  <c r="AY65"/>
  <c r="AZ65"/>
  <c r="AY84"/>
  <c r="AZ84"/>
  <c r="Q23" i="47"/>
  <c r="Q21"/>
  <c r="P21"/>
  <c r="Q9"/>
  <c r="P9"/>
  <c r="P10"/>
  <c r="Q8"/>
  <c r="Q44"/>
  <c r="P44"/>
  <c r="K515" i="44"/>
  <c r="J515"/>
  <c r="Q53" i="47"/>
  <c r="P53"/>
  <c r="Q47"/>
  <c r="P47"/>
  <c r="P17"/>
  <c r="Q18"/>
  <c r="Q16"/>
  <c r="P16"/>
  <c r="P15"/>
  <c r="Q45"/>
  <c r="Q11"/>
  <c r="P11"/>
  <c r="P13"/>
  <c r="Q50"/>
  <c r="Q48"/>
  <c r="P48"/>
  <c r="P20"/>
  <c r="Q33"/>
  <c r="Q31"/>
  <c r="P31"/>
  <c r="P39"/>
  <c r="Q30"/>
  <c r="P30"/>
  <c r="P38"/>
  <c r="Q28"/>
  <c r="Q34"/>
  <c r="P34"/>
  <c r="P29"/>
  <c r="Q37"/>
  <c r="Q40"/>
  <c r="P40"/>
  <c r="P27"/>
  <c r="Q42"/>
  <c r="J493" i="44"/>
  <c r="J269" l="1"/>
  <c r="M238"/>
  <c r="J264"/>
  <c r="M242"/>
  <c r="J256"/>
  <c r="M244"/>
  <c r="J255"/>
  <c r="M246"/>
  <c r="J265"/>
  <c r="M248"/>
  <c r="J259"/>
  <c r="M243"/>
  <c r="J260"/>
  <c r="M254"/>
  <c r="J240"/>
  <c r="M270"/>
  <c r="J277"/>
  <c r="M268"/>
  <c r="J272"/>
  <c r="M272"/>
  <c r="J239"/>
  <c r="M273"/>
  <c r="J245"/>
  <c r="M276"/>
  <c r="K287"/>
  <c r="N287"/>
  <c r="J291"/>
  <c r="M293"/>
  <c r="J258"/>
  <c r="J246"/>
  <c r="BS63" i="42"/>
  <c r="BS84"/>
  <c r="BS64"/>
  <c r="BS35"/>
  <c r="BS15"/>
  <c r="BS65"/>
  <c r="BS34"/>
  <c r="J511" i="44"/>
  <c r="J513"/>
  <c r="K268"/>
  <c r="K270"/>
  <c r="K269"/>
  <c r="K247"/>
  <c r="K242"/>
  <c r="K245"/>
  <c r="K277"/>
  <c r="K262"/>
  <c r="K241"/>
  <c r="K256"/>
  <c r="K291"/>
  <c r="K240"/>
  <c r="K258"/>
  <c r="K264"/>
  <c r="K273"/>
  <c r="K244"/>
  <c r="K276"/>
  <c r="K266"/>
  <c r="K260"/>
  <c r="K237"/>
  <c r="K275"/>
  <c r="K257"/>
  <c r="K248"/>
  <c r="K289"/>
  <c r="K510"/>
  <c r="K246"/>
  <c r="K251"/>
  <c r="K272"/>
  <c r="K243"/>
  <c r="K267"/>
  <c r="K261"/>
  <c r="K274"/>
  <c r="K235"/>
  <c r="K279"/>
  <c r="K239"/>
  <c r="K263"/>
  <c r="K271"/>
  <c r="K236"/>
  <c r="K280"/>
  <c r="K278"/>
  <c r="J285"/>
  <c r="K285"/>
  <c r="K511"/>
  <c r="K513"/>
  <c r="J512"/>
  <c r="K516"/>
  <c r="J286"/>
  <c r="K286"/>
  <c r="J288"/>
  <c r="J510"/>
  <c r="K512"/>
  <c r="J468"/>
  <c r="K485"/>
  <c r="K494"/>
  <c r="J492"/>
  <c r="J463"/>
  <c r="K480"/>
  <c r="K470"/>
  <c r="J490"/>
  <c r="J479"/>
  <c r="J483"/>
  <c r="J486"/>
  <c r="K489"/>
  <c r="K502"/>
  <c r="K483"/>
  <c r="K486"/>
  <c r="J491"/>
  <c r="K482"/>
  <c r="J481"/>
  <c r="K492"/>
  <c r="K497"/>
  <c r="J500"/>
  <c r="P32" i="47"/>
  <c r="J484" i="44"/>
  <c r="Q39" i="47"/>
  <c r="K491" i="44"/>
  <c r="Q20" i="47"/>
  <c r="K472" i="44"/>
  <c r="P49" i="47"/>
  <c r="J501" i="44"/>
  <c r="Q13" i="47"/>
  <c r="P12"/>
  <c r="J464" i="44"/>
  <c r="Q15" i="47"/>
  <c r="K467" i="44"/>
  <c r="Q17" i="47"/>
  <c r="K469" i="44"/>
  <c r="P8" i="47"/>
  <c r="J460" i="44"/>
  <c r="Q10" i="47"/>
  <c r="K462" i="44"/>
  <c r="P42" i="47"/>
  <c r="J494" i="44"/>
  <c r="Q43" i="47"/>
  <c r="K495" i="44"/>
  <c r="P37" i="47"/>
  <c r="J489" i="44"/>
  <c r="Q32" i="47"/>
  <c r="K484" i="44"/>
  <c r="P28" i="47"/>
  <c r="J480" i="44"/>
  <c r="Q35" i="47"/>
  <c r="K487" i="44"/>
  <c r="P33" i="47"/>
  <c r="J485" i="44"/>
  <c r="Q19" i="47"/>
  <c r="K471" i="44"/>
  <c r="P50" i="47"/>
  <c r="J502" i="44"/>
  <c r="Q49" i="47"/>
  <c r="K501" i="44"/>
  <c r="P45" i="47"/>
  <c r="J497" i="44"/>
  <c r="Q12" i="47"/>
  <c r="K464" i="44"/>
  <c r="P18" i="47"/>
  <c r="J470" i="44"/>
  <c r="J505"/>
  <c r="K460"/>
  <c r="Q27" i="47"/>
  <c r="K479" i="44"/>
  <c r="Q38" i="47"/>
  <c r="K490" i="44"/>
  <c r="P19" i="47"/>
  <c r="J471" i="44"/>
  <c r="J514"/>
  <c r="K475"/>
  <c r="K514"/>
  <c r="P43" i="47"/>
  <c r="J495" i="44"/>
  <c r="Q29" i="47"/>
  <c r="K481" i="44"/>
  <c r="P35" i="47"/>
  <c r="J487" i="44"/>
  <c r="P23" i="47"/>
  <c r="J475" i="44"/>
  <c r="J473"/>
  <c r="P41" i="47"/>
  <c r="K499" i="44"/>
  <c r="J469"/>
  <c r="K461"/>
  <c r="J462"/>
  <c r="K496"/>
  <c r="Q41" i="47"/>
  <c r="K493" i="44"/>
  <c r="K505"/>
  <c r="J499"/>
  <c r="K468"/>
  <c r="J467"/>
  <c r="K463"/>
  <c r="K500"/>
  <c r="J472"/>
  <c r="K473"/>
  <c r="J461"/>
  <c r="J496"/>
  <c r="K249"/>
  <c r="J249"/>
  <c r="K474"/>
  <c r="J474"/>
  <c r="P14" i="47"/>
  <c r="Q14"/>
  <c r="K465" i="44" l="1"/>
  <c r="J465"/>
  <c r="K252" l="1"/>
  <c r="J252"/>
  <c r="K477"/>
  <c r="J477"/>
  <c r="J402"/>
  <c r="K402"/>
  <c r="K592" l="1"/>
  <c r="E605"/>
  <c r="J592" s="1"/>
  <c r="E380"/>
  <c r="J367" s="1"/>
  <c r="E80"/>
  <c r="J67" s="1"/>
  <c r="F80"/>
  <c r="K67" s="1"/>
  <c r="E155"/>
  <c r="J142" s="1"/>
  <c r="F155"/>
  <c r="K142" s="1"/>
  <c r="F305"/>
  <c r="K292" s="1"/>
  <c r="E305"/>
  <c r="J292" s="1"/>
  <c r="F380"/>
  <c r="K367" s="1"/>
  <c r="F530"/>
  <c r="K517" s="1"/>
  <c r="E530"/>
  <c r="J517" s="1"/>
  <c r="F230"/>
  <c r="K217" s="1"/>
  <c r="E230"/>
  <c r="J217" s="1"/>
  <c r="K79" i="29"/>
  <c r="L79"/>
  <c r="F381" i="44" s="1"/>
  <c r="N381" s="1"/>
  <c r="V85" i="42" l="1"/>
  <c r="E381" i="44"/>
  <c r="M381" s="1"/>
  <c r="F455"/>
  <c r="K442" s="1"/>
  <c r="E455"/>
  <c r="J442" s="1"/>
  <c r="X85" i="42"/>
  <c r="K78" i="29"/>
  <c r="L78"/>
  <c r="K73"/>
  <c r="L73"/>
  <c r="F375" i="44" s="1"/>
  <c r="N375" s="1"/>
  <c r="K74" i="29"/>
  <c r="L74"/>
  <c r="F376" i="44" s="1"/>
  <c r="N376" s="1"/>
  <c r="K75" i="29"/>
  <c r="L75"/>
  <c r="F377" i="44" s="1"/>
  <c r="N377" s="1"/>
  <c r="K76" i="29"/>
  <c r="L76"/>
  <c r="F378" i="44" s="1"/>
  <c r="N378" s="1"/>
  <c r="K77" i="29"/>
  <c r="L77"/>
  <c r="K64"/>
  <c r="L64"/>
  <c r="K65"/>
  <c r="L65"/>
  <c r="K66"/>
  <c r="L66"/>
  <c r="K67"/>
  <c r="L67"/>
  <c r="K68"/>
  <c r="E370" i="44" s="1"/>
  <c r="M370" s="1"/>
  <c r="L68" i="29"/>
  <c r="F370" i="44" s="1"/>
  <c r="N370" s="1"/>
  <c r="K69" i="29"/>
  <c r="L69"/>
  <c r="F371" i="44" s="1"/>
  <c r="N371" s="1"/>
  <c r="K70" i="29"/>
  <c r="L70"/>
  <c r="K71"/>
  <c r="L71"/>
  <c r="F373" i="44" s="1"/>
  <c r="N373" s="1"/>
  <c r="K72" i="29"/>
  <c r="L72"/>
  <c r="F374" i="44" s="1"/>
  <c r="N374" s="1"/>
  <c r="K54" i="29"/>
  <c r="L54"/>
  <c r="F356" i="44" s="1"/>
  <c r="N356" s="1"/>
  <c r="K55" i="29"/>
  <c r="L55"/>
  <c r="F357" i="44" s="1"/>
  <c r="N357" s="1"/>
  <c r="K56" i="29"/>
  <c r="L56"/>
  <c r="F358" i="44" s="1"/>
  <c r="N358" s="1"/>
  <c r="K57" i="29"/>
  <c r="L57"/>
  <c r="F359" i="44" s="1"/>
  <c r="N359" s="1"/>
  <c r="K58" i="29"/>
  <c r="L58"/>
  <c r="F360" i="44" s="1"/>
  <c r="N360" s="1"/>
  <c r="K59" i="29"/>
  <c r="L59"/>
  <c r="F361" i="44" s="1"/>
  <c r="N361" s="1"/>
  <c r="K60" i="29"/>
  <c r="L60"/>
  <c r="K61"/>
  <c r="L61"/>
  <c r="F363" i="44" s="1"/>
  <c r="N363" s="1"/>
  <c r="K62" i="29"/>
  <c r="L62"/>
  <c r="F364" i="44" s="1"/>
  <c r="N364" s="1"/>
  <c r="K63" i="29"/>
  <c r="L63"/>
  <c r="F365" i="44" s="1"/>
  <c r="N365" s="1"/>
  <c r="V59" i="42"/>
  <c r="K41" i="29"/>
  <c r="L41"/>
  <c r="F343" i="44" s="1"/>
  <c r="N343" s="1"/>
  <c r="K42" i="29"/>
  <c r="L42"/>
  <c r="F344" i="44" s="1"/>
  <c r="N344" s="1"/>
  <c r="K43" i="29"/>
  <c r="L43"/>
  <c r="F345" i="44" s="1"/>
  <c r="N345" s="1"/>
  <c r="K44" i="29"/>
  <c r="L44"/>
  <c r="F346" i="44" s="1"/>
  <c r="N346" s="1"/>
  <c r="K45" i="29"/>
  <c r="L45"/>
  <c r="F347" i="44" s="1"/>
  <c r="N347" s="1"/>
  <c r="K46" i="29"/>
  <c r="L46"/>
  <c r="F348" i="44" s="1"/>
  <c r="N348" s="1"/>
  <c r="K47" i="29"/>
  <c r="L47"/>
  <c r="F349" i="44" s="1"/>
  <c r="N349" s="1"/>
  <c r="K48" i="29"/>
  <c r="L48"/>
  <c r="F350" i="44" s="1"/>
  <c r="N350" s="1"/>
  <c r="K49" i="29"/>
  <c r="L49"/>
  <c r="K50"/>
  <c r="L50"/>
  <c r="K51"/>
  <c r="L51"/>
  <c r="K39"/>
  <c r="L39"/>
  <c r="F341" i="44" s="1"/>
  <c r="N341" s="1"/>
  <c r="K40" i="29"/>
  <c r="L40"/>
  <c r="F342" i="44" s="1"/>
  <c r="N342" s="1"/>
  <c r="K38" i="29"/>
  <c r="L38"/>
  <c r="F340" i="44" s="1"/>
  <c r="N340" s="1"/>
  <c r="K9" i="29"/>
  <c r="L9"/>
  <c r="F311" i="44" s="1"/>
  <c r="N311" s="1"/>
  <c r="K10" i="29"/>
  <c r="L10"/>
  <c r="F312" i="44" s="1"/>
  <c r="N312" s="1"/>
  <c r="K11" i="29"/>
  <c r="L11"/>
  <c r="F313" i="44" s="1"/>
  <c r="N313" s="1"/>
  <c r="K12" i="29"/>
  <c r="L12"/>
  <c r="F314" i="44" s="1"/>
  <c r="N314" s="1"/>
  <c r="K13" i="29"/>
  <c r="L13"/>
  <c r="F315" i="44" s="1"/>
  <c r="N315" s="1"/>
  <c r="K14" i="29"/>
  <c r="L14"/>
  <c r="F316" i="44" s="1"/>
  <c r="N316" s="1"/>
  <c r="K15" i="29"/>
  <c r="L15"/>
  <c r="F317" i="44" s="1"/>
  <c r="N317" s="1"/>
  <c r="K16" i="29"/>
  <c r="L16"/>
  <c r="F318" i="44" s="1"/>
  <c r="N318" s="1"/>
  <c r="K17" i="29"/>
  <c r="L17"/>
  <c r="F319" i="44" s="1"/>
  <c r="N319" s="1"/>
  <c r="K18" i="29"/>
  <c r="L18"/>
  <c r="F320" i="44" s="1"/>
  <c r="N320" s="1"/>
  <c r="K19" i="29"/>
  <c r="L19"/>
  <c r="F321" i="44" s="1"/>
  <c r="N321" s="1"/>
  <c r="K20" i="29"/>
  <c r="L20"/>
  <c r="F322" i="44" s="1"/>
  <c r="N322" s="1"/>
  <c r="K21" i="29"/>
  <c r="L21"/>
  <c r="F323" i="44" s="1"/>
  <c r="N323" s="1"/>
  <c r="K22" i="29"/>
  <c r="L22"/>
  <c r="F324" i="44" s="1"/>
  <c r="N324" s="1"/>
  <c r="K23" i="29"/>
  <c r="L23"/>
  <c r="K24"/>
  <c r="L24"/>
  <c r="F326" i="44" s="1"/>
  <c r="N326" s="1"/>
  <c r="K25" i="29"/>
  <c r="L25"/>
  <c r="F327" i="44" s="1"/>
  <c r="N327" s="1"/>
  <c r="K26" i="29"/>
  <c r="L26"/>
  <c r="F328" i="44" s="1"/>
  <c r="N328" s="1"/>
  <c r="K27" i="29"/>
  <c r="L27"/>
  <c r="F329" i="44" s="1"/>
  <c r="N329" s="1"/>
  <c r="K28" i="29"/>
  <c r="L28"/>
  <c r="F330" i="44" s="1"/>
  <c r="N330" s="1"/>
  <c r="K29" i="29"/>
  <c r="L29"/>
  <c r="F331" i="44" s="1"/>
  <c r="N331" s="1"/>
  <c r="K30" i="29"/>
  <c r="L30"/>
  <c r="F332" i="44" s="1"/>
  <c r="N332" s="1"/>
  <c r="K31" i="29"/>
  <c r="L31"/>
  <c r="K32"/>
  <c r="L32"/>
  <c r="F334" i="44" s="1"/>
  <c r="N334" s="1"/>
  <c r="K33" i="29"/>
  <c r="L33"/>
  <c r="F335" i="44" s="1"/>
  <c r="N335" s="1"/>
  <c r="K34" i="29"/>
  <c r="L34"/>
  <c r="K35"/>
  <c r="L35"/>
  <c r="F337" i="44" s="1"/>
  <c r="N337" s="1"/>
  <c r="K36" i="29"/>
  <c r="L36"/>
  <c r="F338" i="44" s="1"/>
  <c r="N338" s="1"/>
  <c r="K37" i="29"/>
  <c r="L37"/>
  <c r="F339" i="44" s="1"/>
  <c r="N339" s="1"/>
  <c r="K8" i="29"/>
  <c r="L8"/>
  <c r="F77" i="45" l="1"/>
  <c r="P61" i="29"/>
  <c r="P24"/>
  <c r="E310" i="44"/>
  <c r="M310" s="1"/>
  <c r="V38" i="42"/>
  <c r="E334" i="44"/>
  <c r="M334" s="1"/>
  <c r="V30" i="42"/>
  <c r="E326" i="44"/>
  <c r="M326" s="1"/>
  <c r="V52" i="42"/>
  <c r="E348" i="44"/>
  <c r="M348" s="1"/>
  <c r="V48" i="42"/>
  <c r="E344" i="44"/>
  <c r="M344" s="1"/>
  <c r="Q62" i="29"/>
  <c r="F366" i="44"/>
  <c r="N366" s="1"/>
  <c r="Q59" i="29"/>
  <c r="F333" i="44"/>
  <c r="N333" s="1"/>
  <c r="Q61" i="29"/>
  <c r="F351" i="44"/>
  <c r="N351" s="1"/>
  <c r="V69" i="42"/>
  <c r="E365" i="44"/>
  <c r="M365" s="1"/>
  <c r="V67" i="42"/>
  <c r="E363" i="44"/>
  <c r="M363" s="1"/>
  <c r="V65" i="42"/>
  <c r="E361" i="44"/>
  <c r="M361" s="1"/>
  <c r="V63" i="42"/>
  <c r="E359" i="44"/>
  <c r="M359" s="1"/>
  <c r="V61" i="42"/>
  <c r="E357" i="44"/>
  <c r="M357" s="1"/>
  <c r="V78" i="42"/>
  <c r="E374" i="44"/>
  <c r="M374" s="1"/>
  <c r="V72" i="42"/>
  <c r="P64" i="29"/>
  <c r="E368" i="44"/>
  <c r="M368" s="1"/>
  <c r="V70" i="42"/>
  <c r="P62" i="29"/>
  <c r="E366" i="44"/>
  <c r="M366" s="1"/>
  <c r="V82" i="42"/>
  <c r="E378" i="44"/>
  <c r="M378" s="1"/>
  <c r="V80" i="42"/>
  <c r="E376" i="44"/>
  <c r="M376" s="1"/>
  <c r="V84" i="42"/>
  <c r="P65" i="29"/>
  <c r="V43" i="42"/>
  <c r="E339" i="44"/>
  <c r="M339" s="1"/>
  <c r="V41" i="42"/>
  <c r="E337" i="44"/>
  <c r="M337" s="1"/>
  <c r="V39" i="42"/>
  <c r="E335" i="44"/>
  <c r="M335" s="1"/>
  <c r="V37" i="42"/>
  <c r="P59" i="29"/>
  <c r="E333" i="44"/>
  <c r="M333" s="1"/>
  <c r="V35" i="42"/>
  <c r="E331" i="44"/>
  <c r="M331" s="1"/>
  <c r="V33" i="42"/>
  <c r="E329" i="44"/>
  <c r="M329" s="1"/>
  <c r="V29" i="42"/>
  <c r="P58" i="29"/>
  <c r="E325" i="44"/>
  <c r="M325" s="1"/>
  <c r="V27" i="42"/>
  <c r="E323" i="44"/>
  <c r="M323" s="1"/>
  <c r="V25" i="42"/>
  <c r="E321" i="44"/>
  <c r="M321" s="1"/>
  <c r="V23" i="42"/>
  <c r="E319" i="44"/>
  <c r="M319" s="1"/>
  <c r="V21" i="42"/>
  <c r="E317" i="44"/>
  <c r="M317" s="1"/>
  <c r="V19" i="42"/>
  <c r="E315" i="44"/>
  <c r="M315" s="1"/>
  <c r="V17" i="42"/>
  <c r="E313" i="44"/>
  <c r="M313" s="1"/>
  <c r="V46" i="42"/>
  <c r="E342" i="44"/>
  <c r="M342" s="1"/>
  <c r="V55" i="42"/>
  <c r="E351" i="44"/>
  <c r="M351" s="1"/>
  <c r="V53" i="42"/>
  <c r="E349" i="44"/>
  <c r="M349" s="1"/>
  <c r="V51" i="42"/>
  <c r="E347" i="44"/>
  <c r="M347" s="1"/>
  <c r="V49" i="42"/>
  <c r="E345" i="44"/>
  <c r="M345" s="1"/>
  <c r="V47" i="42"/>
  <c r="E343" i="44"/>
  <c r="M343" s="1"/>
  <c r="Q60" i="29"/>
  <c r="F362" i="44"/>
  <c r="N362" s="1"/>
  <c r="Q25" i="29"/>
  <c r="F369" i="44"/>
  <c r="N369" s="1"/>
  <c r="Q63" i="29"/>
  <c r="F367" i="44"/>
  <c r="N367" s="1"/>
  <c r="Q23" i="29"/>
  <c r="F379" i="44"/>
  <c r="N379" s="1"/>
  <c r="V42" i="42"/>
  <c r="E338" i="44"/>
  <c r="M338" s="1"/>
  <c r="V40" i="42"/>
  <c r="P22" i="29"/>
  <c r="E336" i="44"/>
  <c r="M336" s="1"/>
  <c r="V36" i="42"/>
  <c r="E332" i="44"/>
  <c r="M332" s="1"/>
  <c r="V34" i="42"/>
  <c r="E330" i="44"/>
  <c r="M330" s="1"/>
  <c r="V32" i="42"/>
  <c r="E328" i="44"/>
  <c r="M328" s="1"/>
  <c r="V28" i="42"/>
  <c r="E324" i="44"/>
  <c r="M324" s="1"/>
  <c r="V26" i="42"/>
  <c r="E322" i="44"/>
  <c r="M322" s="1"/>
  <c r="V24" i="42"/>
  <c r="E320" i="44"/>
  <c r="M320" s="1"/>
  <c r="V22" i="42"/>
  <c r="E318" i="44"/>
  <c r="M318" s="1"/>
  <c r="V20" i="42"/>
  <c r="E316" i="44"/>
  <c r="M316" s="1"/>
  <c r="V18" i="42"/>
  <c r="E314" i="44"/>
  <c r="M314" s="1"/>
  <c r="V16" i="42"/>
  <c r="E312" i="44"/>
  <c r="M312" s="1"/>
  <c r="V44" i="42"/>
  <c r="E340" i="44"/>
  <c r="M340" s="1"/>
  <c r="V45" i="42"/>
  <c r="E341" i="44"/>
  <c r="M341" s="1"/>
  <c r="V54" i="42"/>
  <c r="E350" i="44"/>
  <c r="M350" s="1"/>
  <c r="V50" i="42"/>
  <c r="E346" i="44"/>
  <c r="M346" s="1"/>
  <c r="Q64" i="29"/>
  <c r="F368" i="44"/>
  <c r="N368" s="1"/>
  <c r="X84" i="42"/>
  <c r="Q65" i="29"/>
  <c r="Q58"/>
  <c r="F325" i="44"/>
  <c r="N325" s="1"/>
  <c r="Q24" i="29"/>
  <c r="F310" i="44"/>
  <c r="N310" s="1"/>
  <c r="Q22" i="29"/>
  <c r="F336" i="44"/>
  <c r="N336" s="1"/>
  <c r="V68" i="42"/>
  <c r="E364" i="44"/>
  <c r="M364" s="1"/>
  <c r="V66" i="42"/>
  <c r="P60" i="29"/>
  <c r="E362" i="44"/>
  <c r="M362" s="1"/>
  <c r="V64" i="42"/>
  <c r="E360" i="44"/>
  <c r="M360" s="1"/>
  <c r="V62" i="42"/>
  <c r="E358" i="44"/>
  <c r="M358" s="1"/>
  <c r="V60" i="42"/>
  <c r="E356" i="44"/>
  <c r="M356" s="1"/>
  <c r="V77" i="42"/>
  <c r="E373" i="44"/>
  <c r="M373" s="1"/>
  <c r="V75" i="42"/>
  <c r="E371" i="44"/>
  <c r="M371" s="1"/>
  <c r="V73" i="42"/>
  <c r="P25" i="29"/>
  <c r="E369" i="44"/>
  <c r="M369" s="1"/>
  <c r="V71" i="42"/>
  <c r="P63" i="29"/>
  <c r="E367" i="44"/>
  <c r="M367" s="1"/>
  <c r="V83" i="42"/>
  <c r="P23" i="29"/>
  <c r="E379" i="44"/>
  <c r="M379" s="1"/>
  <c r="V81" i="42"/>
  <c r="E377" i="44"/>
  <c r="M377" s="1"/>
  <c r="V79" i="42"/>
  <c r="E375" i="44"/>
  <c r="M375" s="1"/>
  <c r="V31" i="42"/>
  <c r="E327" i="44"/>
  <c r="M327" s="1"/>
  <c r="V15" i="42"/>
  <c r="E311" i="44"/>
  <c r="M311" s="1"/>
  <c r="V76" i="42"/>
  <c r="V74"/>
  <c r="V14"/>
  <c r="X14"/>
  <c r="X42"/>
  <c r="X40"/>
  <c r="X38"/>
  <c r="X36"/>
  <c r="X34"/>
  <c r="X32"/>
  <c r="X30"/>
  <c r="X28"/>
  <c r="X26"/>
  <c r="X24"/>
  <c r="X22"/>
  <c r="X20"/>
  <c r="X18"/>
  <c r="X16"/>
  <c r="X44"/>
  <c r="X45"/>
  <c r="X54"/>
  <c r="X52"/>
  <c r="X50"/>
  <c r="X48"/>
  <c r="X59"/>
  <c r="X68"/>
  <c r="X66"/>
  <c r="X64"/>
  <c r="X62"/>
  <c r="X60"/>
  <c r="X77"/>
  <c r="X75"/>
  <c r="X73"/>
  <c r="X71"/>
  <c r="X83"/>
  <c r="X81"/>
  <c r="X79"/>
  <c r="X43"/>
  <c r="X41"/>
  <c r="X39"/>
  <c r="X37"/>
  <c r="X35"/>
  <c r="X33"/>
  <c r="X31"/>
  <c r="X29"/>
  <c r="X27"/>
  <c r="X25"/>
  <c r="X23"/>
  <c r="X21"/>
  <c r="X19"/>
  <c r="X17"/>
  <c r="X15"/>
  <c r="X46"/>
  <c r="X55"/>
  <c r="X53"/>
  <c r="X51"/>
  <c r="X49"/>
  <c r="X47"/>
  <c r="X69"/>
  <c r="X67"/>
  <c r="X65"/>
  <c r="X63"/>
  <c r="X61"/>
  <c r="X78"/>
  <c r="X76"/>
  <c r="X74"/>
  <c r="X72"/>
  <c r="X70"/>
  <c r="X82"/>
  <c r="X80"/>
  <c r="E77" i="45"/>
  <c r="AU58" i="42"/>
  <c r="BA7"/>
  <c r="BA14" s="1"/>
  <c r="AY7"/>
  <c r="AW7"/>
  <c r="AU7"/>
  <c r="AU14" s="1"/>
  <c r="AS7"/>
  <c r="AQ7"/>
  <c r="AO7"/>
  <c r="AM7"/>
  <c r="AM14" s="1"/>
  <c r="M7" i="44" l="1"/>
  <c r="AW44" i="42"/>
  <c r="AW54"/>
  <c r="AW53"/>
  <c r="AW47"/>
  <c r="AW82"/>
  <c r="AW79"/>
  <c r="AW68"/>
  <c r="AW21"/>
  <c r="AW83"/>
  <c r="AW37"/>
  <c r="AW80"/>
  <c r="AW60"/>
  <c r="AW31"/>
  <c r="AW32"/>
  <c r="AQ44"/>
  <c r="AQ60"/>
  <c r="AQ54"/>
  <c r="AQ70"/>
  <c r="AQ21"/>
  <c r="AQ37"/>
  <c r="AQ45"/>
  <c r="AQ53"/>
  <c r="AQ80"/>
  <c r="AQ18"/>
  <c r="AQ31"/>
  <c r="AQ71"/>
  <c r="AQ79"/>
  <c r="AQ17"/>
  <c r="AQ57"/>
  <c r="AQ82"/>
  <c r="AS71"/>
  <c r="AS85"/>
  <c r="AS82"/>
  <c r="AS65"/>
  <c r="AS68"/>
  <c r="AS74"/>
  <c r="AS81"/>
  <c r="AS69"/>
  <c r="AS75"/>
  <c r="AS80"/>
  <c r="AS16"/>
  <c r="AS66"/>
  <c r="AS60"/>
  <c r="AS67"/>
  <c r="AS77"/>
  <c r="AS73"/>
  <c r="AS59"/>
  <c r="AS58"/>
  <c r="AS64"/>
  <c r="AS72"/>
  <c r="AS79"/>
  <c r="AS63"/>
  <c r="AS62"/>
  <c r="AS83"/>
  <c r="AS14"/>
  <c r="AS76"/>
  <c r="AS61"/>
  <c r="J324" i="44"/>
  <c r="AO18" i="42"/>
  <c r="AO22"/>
  <c r="AO26"/>
  <c r="AO30"/>
  <c r="AO34"/>
  <c r="AO38"/>
  <c r="AO42"/>
  <c r="AO46"/>
  <c r="AO50"/>
  <c r="AO54"/>
  <c r="AO58"/>
  <c r="AO62"/>
  <c r="AO66"/>
  <c r="AO70"/>
  <c r="AO74"/>
  <c r="AO78"/>
  <c r="AO82"/>
  <c r="AO15"/>
  <c r="AO23"/>
  <c r="AO27"/>
  <c r="AO35"/>
  <c r="AO39"/>
  <c r="AO47"/>
  <c r="AO51"/>
  <c r="AO59"/>
  <c r="AO63"/>
  <c r="AO71"/>
  <c r="AO79"/>
  <c r="AO83"/>
  <c r="AO14"/>
  <c r="AO19"/>
  <c r="AO31"/>
  <c r="AO43"/>
  <c r="AO55"/>
  <c r="AO67"/>
  <c r="AO75"/>
  <c r="AO16"/>
  <c r="AO20"/>
  <c r="AO24"/>
  <c r="AO28"/>
  <c r="AO32"/>
  <c r="AO29"/>
  <c r="AO40"/>
  <c r="AO48"/>
  <c r="AO56"/>
  <c r="AO64"/>
  <c r="AO72"/>
  <c r="AO80"/>
  <c r="AO37"/>
  <c r="AO45"/>
  <c r="AO69"/>
  <c r="AO17"/>
  <c r="AO33"/>
  <c r="AO41"/>
  <c r="AO49"/>
  <c r="AO57"/>
  <c r="AO65"/>
  <c r="AO73"/>
  <c r="AO81"/>
  <c r="AO25"/>
  <c r="AO61"/>
  <c r="AO85"/>
  <c r="AO21"/>
  <c r="AO36"/>
  <c r="AO44"/>
  <c r="AO52"/>
  <c r="AO60"/>
  <c r="AO68"/>
  <c r="AO76"/>
  <c r="AO84"/>
  <c r="AO53"/>
  <c r="AO77"/>
  <c r="BA15"/>
  <c r="BA17"/>
  <c r="BA19"/>
  <c r="BA21"/>
  <c r="BA23"/>
  <c r="BA25"/>
  <c r="BA27"/>
  <c r="BA29"/>
  <c r="BA31"/>
  <c r="BA33"/>
  <c r="BA35"/>
  <c r="BA37"/>
  <c r="BA39"/>
  <c r="BA41"/>
  <c r="BA43"/>
  <c r="BA45"/>
  <c r="BA47"/>
  <c r="BA49"/>
  <c r="BA51"/>
  <c r="BA53"/>
  <c r="BA55"/>
  <c r="BA57"/>
  <c r="BA59"/>
  <c r="BA61"/>
  <c r="BA63"/>
  <c r="BA65"/>
  <c r="BA67"/>
  <c r="BA69"/>
  <c r="BA71"/>
  <c r="BA73"/>
  <c r="BA75"/>
  <c r="BA77"/>
  <c r="BA79"/>
  <c r="BA81"/>
  <c r="BA83"/>
  <c r="BA85"/>
  <c r="BA16"/>
  <c r="BA18"/>
  <c r="BA20"/>
  <c r="BA22"/>
  <c r="BA24"/>
  <c r="BA26"/>
  <c r="BA28"/>
  <c r="BA30"/>
  <c r="BA32"/>
  <c r="BA34"/>
  <c r="BA36"/>
  <c r="BA38"/>
  <c r="BA40"/>
  <c r="BA42"/>
  <c r="BA44"/>
  <c r="BA46"/>
  <c r="BA48"/>
  <c r="BA50"/>
  <c r="BA52"/>
  <c r="BA54"/>
  <c r="BA56"/>
  <c r="BA58"/>
  <c r="BA60"/>
  <c r="BA62"/>
  <c r="BA64"/>
  <c r="BA66"/>
  <c r="BA68"/>
  <c r="BA70"/>
  <c r="BA72"/>
  <c r="BA74"/>
  <c r="BA76"/>
  <c r="BA78"/>
  <c r="BA80"/>
  <c r="BA82"/>
  <c r="BA84"/>
  <c r="AS19"/>
  <c r="AS15"/>
  <c r="AS20"/>
  <c r="AS37"/>
  <c r="AS33"/>
  <c r="AS25"/>
  <c r="AS21"/>
  <c r="AS46"/>
  <c r="AS38"/>
  <c r="AS31"/>
  <c r="AS27"/>
  <c r="AS23"/>
  <c r="AS56"/>
  <c r="AS32"/>
  <c r="AS53"/>
  <c r="AS41"/>
  <c r="AS50"/>
  <c r="AS26"/>
  <c r="AS39"/>
  <c r="AS52"/>
  <c r="AS48"/>
  <c r="AS36"/>
  <c r="AS24"/>
  <c r="AS49"/>
  <c r="AS45"/>
  <c r="AS17"/>
  <c r="AS54"/>
  <c r="AS42"/>
  <c r="AS22"/>
  <c r="AS55"/>
  <c r="AS51"/>
  <c r="AS47"/>
  <c r="AS43"/>
  <c r="AS44"/>
  <c r="AS40"/>
  <c r="AS30"/>
  <c r="AS34"/>
  <c r="AS28"/>
  <c r="AS18"/>
  <c r="AS35"/>
  <c r="AS57"/>
  <c r="AY17"/>
  <c r="AY21"/>
  <c r="AY25"/>
  <c r="AY29"/>
  <c r="AY33"/>
  <c r="AY37"/>
  <c r="AY41"/>
  <c r="AY45"/>
  <c r="AY49"/>
  <c r="AY53"/>
  <c r="AY57"/>
  <c r="AY61"/>
  <c r="AY16"/>
  <c r="AY20"/>
  <c r="AY24"/>
  <c r="AY28"/>
  <c r="AY32"/>
  <c r="AY36"/>
  <c r="AY40"/>
  <c r="AY44"/>
  <c r="AY48"/>
  <c r="AY52"/>
  <c r="AY56"/>
  <c r="AY60"/>
  <c r="AY19"/>
  <c r="AY23"/>
  <c r="AY27"/>
  <c r="AY31"/>
  <c r="AY39"/>
  <c r="AY43"/>
  <c r="AY47"/>
  <c r="AY51"/>
  <c r="AY55"/>
  <c r="AY59"/>
  <c r="AY67"/>
  <c r="AY71"/>
  <c r="AY75"/>
  <c r="AY79"/>
  <c r="AY83"/>
  <c r="AY18"/>
  <c r="AY50"/>
  <c r="AY70"/>
  <c r="AY30"/>
  <c r="AY46"/>
  <c r="AY62"/>
  <c r="AY72"/>
  <c r="AY74"/>
  <c r="AY81"/>
  <c r="AY26"/>
  <c r="AY42"/>
  <c r="AY58"/>
  <c r="AY69"/>
  <c r="AY76"/>
  <c r="AY78"/>
  <c r="AY22"/>
  <c r="AY38"/>
  <c r="AY54"/>
  <c r="AY66"/>
  <c r="AY73"/>
  <c r="AY80"/>
  <c r="AY82"/>
  <c r="AY85"/>
  <c r="AY68"/>
  <c r="AY77"/>
  <c r="B21" i="43"/>
  <c r="B22" s="1"/>
  <c r="B23" s="1"/>
  <c r="BB7" i="42"/>
  <c r="BB14" s="1"/>
  <c r="BT14" s="1"/>
  <c r="AZ7"/>
  <c r="AX7"/>
  <c r="AV7"/>
  <c r="AT7"/>
  <c r="AT71" s="1"/>
  <c r="AR7"/>
  <c r="AR14" s="1"/>
  <c r="BO14" s="1"/>
  <c r="AP7"/>
  <c r="AN7"/>
  <c r="BP71" l="1"/>
  <c r="AX50"/>
  <c r="BR50" s="1"/>
  <c r="AX44"/>
  <c r="BR44" s="1"/>
  <c r="AX74"/>
  <c r="BR74" s="1"/>
  <c r="AT57"/>
  <c r="BP57" s="1"/>
  <c r="AT59"/>
  <c r="BP59" s="1"/>
  <c r="AT65"/>
  <c r="BP65" s="1"/>
  <c r="AT69"/>
  <c r="BP69" s="1"/>
  <c r="AT73"/>
  <c r="BP73" s="1"/>
  <c r="AT75"/>
  <c r="BP75" s="1"/>
  <c r="AT79"/>
  <c r="BP79" s="1"/>
  <c r="AT83"/>
  <c r="BP83" s="1"/>
  <c r="AT58"/>
  <c r="BP58" s="1"/>
  <c r="AT60"/>
  <c r="BP60" s="1"/>
  <c r="AT62"/>
  <c r="BP62" s="1"/>
  <c r="AT64"/>
  <c r="BP64" s="1"/>
  <c r="AT66"/>
  <c r="BP66" s="1"/>
  <c r="AT68"/>
  <c r="BP68" s="1"/>
  <c r="AT70"/>
  <c r="BP70" s="1"/>
  <c r="AT72"/>
  <c r="BP72" s="1"/>
  <c r="AT74"/>
  <c r="BP74" s="1"/>
  <c r="AT76"/>
  <c r="BP76" s="1"/>
  <c r="AT80"/>
  <c r="BP80" s="1"/>
  <c r="AT82"/>
  <c r="BP82" s="1"/>
  <c r="AT84"/>
  <c r="BP84" s="1"/>
  <c r="AT61"/>
  <c r="BP61" s="1"/>
  <c r="AT63"/>
  <c r="BP63" s="1"/>
  <c r="AT67"/>
  <c r="BP67" s="1"/>
  <c r="AT77"/>
  <c r="BP77" s="1"/>
  <c r="AT81"/>
  <c r="BP81" s="1"/>
  <c r="AT85"/>
  <c r="BP85" s="1"/>
  <c r="AV56"/>
  <c r="BQ56" s="1"/>
  <c r="AV57"/>
  <c r="BQ57" s="1"/>
  <c r="AV58"/>
  <c r="BQ58" s="1"/>
  <c r="AV59"/>
  <c r="AP14"/>
  <c r="BN14" s="1"/>
  <c r="AP16"/>
  <c r="BN16" s="1"/>
  <c r="AP21"/>
  <c r="BN21" s="1"/>
  <c r="AP25"/>
  <c r="BN25" s="1"/>
  <c r="AP29"/>
  <c r="BN29" s="1"/>
  <c r="AP33"/>
  <c r="BN33" s="1"/>
  <c r="AP37"/>
  <c r="BN37" s="1"/>
  <c r="AP41"/>
  <c r="BN41" s="1"/>
  <c r="AP45"/>
  <c r="BN45" s="1"/>
  <c r="AP49"/>
  <c r="BN49" s="1"/>
  <c r="AP53"/>
  <c r="BN53" s="1"/>
  <c r="AP57"/>
  <c r="BN57" s="1"/>
  <c r="AP61"/>
  <c r="BN61" s="1"/>
  <c r="AP65"/>
  <c r="BN65" s="1"/>
  <c r="AP69"/>
  <c r="BN69" s="1"/>
  <c r="AP73"/>
  <c r="BN73" s="1"/>
  <c r="AP77"/>
  <c r="BN77" s="1"/>
  <c r="AP81"/>
  <c r="BN81" s="1"/>
  <c r="AP85"/>
  <c r="BN85" s="1"/>
  <c r="AP38"/>
  <c r="BN38" s="1"/>
  <c r="AP50"/>
  <c r="BN50" s="1"/>
  <c r="AP58"/>
  <c r="BN58" s="1"/>
  <c r="AP62"/>
  <c r="BN62" s="1"/>
  <c r="AP70"/>
  <c r="BN70" s="1"/>
  <c r="AP74"/>
  <c r="BN74" s="1"/>
  <c r="AP82"/>
  <c r="BN82" s="1"/>
  <c r="AP18"/>
  <c r="BN18" s="1"/>
  <c r="AP22"/>
  <c r="BN22" s="1"/>
  <c r="AP26"/>
  <c r="BN26" s="1"/>
  <c r="AP30"/>
  <c r="BN30" s="1"/>
  <c r="AP34"/>
  <c r="BN34" s="1"/>
  <c r="AP42"/>
  <c r="BN42" s="1"/>
  <c r="AP46"/>
  <c r="BN46" s="1"/>
  <c r="AP54"/>
  <c r="BN54" s="1"/>
  <c r="AP66"/>
  <c r="BN66" s="1"/>
  <c r="AP78"/>
  <c r="BN78" s="1"/>
  <c r="AP17"/>
  <c r="BN17" s="1"/>
  <c r="AP19"/>
  <c r="BN19" s="1"/>
  <c r="AP23"/>
  <c r="BN23" s="1"/>
  <c r="AP27"/>
  <c r="BN27" s="1"/>
  <c r="AP31"/>
  <c r="BN31" s="1"/>
  <c r="AP35"/>
  <c r="BN35" s="1"/>
  <c r="AP39"/>
  <c r="BN39" s="1"/>
  <c r="AP43"/>
  <c r="BN43" s="1"/>
  <c r="AP47"/>
  <c r="BN47" s="1"/>
  <c r="AP51"/>
  <c r="BN51" s="1"/>
  <c r="AP55"/>
  <c r="BN55" s="1"/>
  <c r="AP59"/>
  <c r="BN59" s="1"/>
  <c r="AP63"/>
  <c r="BN63" s="1"/>
  <c r="AP67"/>
  <c r="BN67" s="1"/>
  <c r="AP71"/>
  <c r="BN71" s="1"/>
  <c r="AP75"/>
  <c r="BN75" s="1"/>
  <c r="AP79"/>
  <c r="BN79" s="1"/>
  <c r="AP83"/>
  <c r="BN83" s="1"/>
  <c r="AP20"/>
  <c r="BN20" s="1"/>
  <c r="AP36"/>
  <c r="BN36" s="1"/>
  <c r="AP52"/>
  <c r="BN52" s="1"/>
  <c r="AP68"/>
  <c r="BN68" s="1"/>
  <c r="AP84"/>
  <c r="BN84" s="1"/>
  <c r="AP15"/>
  <c r="BN15" s="1"/>
  <c r="AP64"/>
  <c r="BN64" s="1"/>
  <c r="AP24"/>
  <c r="BN24" s="1"/>
  <c r="AP40"/>
  <c r="BN40" s="1"/>
  <c r="AP56"/>
  <c r="BN56" s="1"/>
  <c r="AP72"/>
  <c r="BN72" s="1"/>
  <c r="AP32"/>
  <c r="BN32" s="1"/>
  <c r="AP28"/>
  <c r="BN28" s="1"/>
  <c r="AP44"/>
  <c r="BN44" s="1"/>
  <c r="AP60"/>
  <c r="BN60" s="1"/>
  <c r="AP76"/>
  <c r="BN76" s="1"/>
  <c r="AP48"/>
  <c r="BN48" s="1"/>
  <c r="AP80"/>
  <c r="BN80" s="1"/>
  <c r="AX17"/>
  <c r="BR17" s="1"/>
  <c r="AX21"/>
  <c r="BR21" s="1"/>
  <c r="AX37"/>
  <c r="BR37" s="1"/>
  <c r="AX53"/>
  <c r="BR53" s="1"/>
  <c r="AX77"/>
  <c r="BR77" s="1"/>
  <c r="AX18"/>
  <c r="BR18" s="1"/>
  <c r="AX54"/>
  <c r="BR54" s="1"/>
  <c r="AX62"/>
  <c r="BR62" s="1"/>
  <c r="AX70"/>
  <c r="BR70" s="1"/>
  <c r="AX82"/>
  <c r="BR82" s="1"/>
  <c r="AX31"/>
  <c r="BR31" s="1"/>
  <c r="AX43"/>
  <c r="BR43" s="1"/>
  <c r="AX47"/>
  <c r="BR47" s="1"/>
  <c r="AX55"/>
  <c r="BR55" s="1"/>
  <c r="AX67"/>
  <c r="BR67" s="1"/>
  <c r="AX71"/>
  <c r="BR71" s="1"/>
  <c r="AX79"/>
  <c r="BR79" s="1"/>
  <c r="AX83"/>
  <c r="BR83" s="1"/>
  <c r="AX32"/>
  <c r="BR32" s="1"/>
  <c r="AX68"/>
  <c r="BR68" s="1"/>
  <c r="AX80"/>
  <c r="BR80" s="1"/>
  <c r="AX24"/>
  <c r="BR24" s="1"/>
  <c r="AX48"/>
  <c r="BR48" s="1"/>
  <c r="AX20"/>
  <c r="BR20" s="1"/>
  <c r="AX60"/>
  <c r="BR60" s="1"/>
  <c r="AT14"/>
  <c r="BP14" s="1"/>
  <c r="AT15"/>
  <c r="BP15" s="1"/>
  <c r="AN14"/>
  <c r="BM14" s="1"/>
  <c r="AV16"/>
  <c r="AV14"/>
  <c r="BQ14" s="1"/>
  <c r="AR16"/>
  <c r="BO16" s="1"/>
  <c r="AR20"/>
  <c r="BO20" s="1"/>
  <c r="AR24"/>
  <c r="BO24" s="1"/>
  <c r="AR28"/>
  <c r="BO28" s="1"/>
  <c r="AR32"/>
  <c r="BO32" s="1"/>
  <c r="AR36"/>
  <c r="BO36" s="1"/>
  <c r="AR40"/>
  <c r="BO40" s="1"/>
  <c r="AR44"/>
  <c r="BO44" s="1"/>
  <c r="AR48"/>
  <c r="BO48" s="1"/>
  <c r="AR52"/>
  <c r="BO52" s="1"/>
  <c r="AR56"/>
  <c r="BO56" s="1"/>
  <c r="AR60"/>
  <c r="BO60" s="1"/>
  <c r="AR64"/>
  <c r="BO64" s="1"/>
  <c r="AR68"/>
  <c r="BO68" s="1"/>
  <c r="AR72"/>
  <c r="BO72" s="1"/>
  <c r="AR76"/>
  <c r="BO76" s="1"/>
  <c r="AR80"/>
  <c r="BO80" s="1"/>
  <c r="AR84"/>
  <c r="BO84" s="1"/>
  <c r="AR15"/>
  <c r="BO15" s="1"/>
  <c r="AR31"/>
  <c r="BO31" s="1"/>
  <c r="AR47"/>
  <c r="BO47" s="1"/>
  <c r="AR59"/>
  <c r="BO59" s="1"/>
  <c r="AR75"/>
  <c r="BO75" s="1"/>
  <c r="AR17"/>
  <c r="BO17" s="1"/>
  <c r="AR21"/>
  <c r="BO21" s="1"/>
  <c r="AR25"/>
  <c r="BO25" s="1"/>
  <c r="AR29"/>
  <c r="BO29" s="1"/>
  <c r="AR33"/>
  <c r="BO33" s="1"/>
  <c r="AR37"/>
  <c r="BO37" s="1"/>
  <c r="AR41"/>
  <c r="BO41" s="1"/>
  <c r="AR45"/>
  <c r="BO45" s="1"/>
  <c r="AR49"/>
  <c r="BO49" s="1"/>
  <c r="AR53"/>
  <c r="BO53" s="1"/>
  <c r="AR57"/>
  <c r="BO57" s="1"/>
  <c r="AR61"/>
  <c r="BO61" s="1"/>
  <c r="AR65"/>
  <c r="BO65" s="1"/>
  <c r="AR69"/>
  <c r="BO69" s="1"/>
  <c r="AR73"/>
  <c r="BO73" s="1"/>
  <c r="AR77"/>
  <c r="BO77" s="1"/>
  <c r="AR81"/>
  <c r="BO81" s="1"/>
  <c r="AR85"/>
  <c r="BO85" s="1"/>
  <c r="AR23"/>
  <c r="BO23" s="1"/>
  <c r="AR35"/>
  <c r="BO35" s="1"/>
  <c r="AR51"/>
  <c r="BO51" s="1"/>
  <c r="AR63"/>
  <c r="BO63" s="1"/>
  <c r="AR79"/>
  <c r="BO79" s="1"/>
  <c r="AR18"/>
  <c r="BO18" s="1"/>
  <c r="AR22"/>
  <c r="BO22" s="1"/>
  <c r="AR26"/>
  <c r="BO26" s="1"/>
  <c r="AR30"/>
  <c r="BO30" s="1"/>
  <c r="AR34"/>
  <c r="BO34" s="1"/>
  <c r="AR38"/>
  <c r="BO38" s="1"/>
  <c r="AR42"/>
  <c r="BO42" s="1"/>
  <c r="AR46"/>
  <c r="BO46" s="1"/>
  <c r="AR50"/>
  <c r="BO50" s="1"/>
  <c r="AR54"/>
  <c r="BO54" s="1"/>
  <c r="AR58"/>
  <c r="BO58" s="1"/>
  <c r="AR62"/>
  <c r="BO62" s="1"/>
  <c r="AR66"/>
  <c r="BO66" s="1"/>
  <c r="AR70"/>
  <c r="BO70" s="1"/>
  <c r="AR74"/>
  <c r="BO74" s="1"/>
  <c r="AR78"/>
  <c r="BO78" s="1"/>
  <c r="AR82"/>
  <c r="BO82" s="1"/>
  <c r="AR19"/>
  <c r="BO19" s="1"/>
  <c r="AR27"/>
  <c r="BO27" s="1"/>
  <c r="AR39"/>
  <c r="BO39" s="1"/>
  <c r="AR43"/>
  <c r="BO43" s="1"/>
  <c r="AR55"/>
  <c r="BO55" s="1"/>
  <c r="AR67"/>
  <c r="BO67" s="1"/>
  <c r="AR71"/>
  <c r="BO71" s="1"/>
  <c r="AR83"/>
  <c r="BO83" s="1"/>
  <c r="BB15"/>
  <c r="BT15" s="1"/>
  <c r="BB17"/>
  <c r="BT17" s="1"/>
  <c r="BB19"/>
  <c r="BT19" s="1"/>
  <c r="BB21"/>
  <c r="BT21" s="1"/>
  <c r="BB23"/>
  <c r="BT23" s="1"/>
  <c r="BB25"/>
  <c r="BT25" s="1"/>
  <c r="BB27"/>
  <c r="BT27" s="1"/>
  <c r="BB29"/>
  <c r="BT29" s="1"/>
  <c r="BB31"/>
  <c r="BT31" s="1"/>
  <c r="BB33"/>
  <c r="BT33" s="1"/>
  <c r="BB35"/>
  <c r="BT35" s="1"/>
  <c r="BB37"/>
  <c r="BT37" s="1"/>
  <c r="BB39"/>
  <c r="BT39" s="1"/>
  <c r="BB41"/>
  <c r="BT41" s="1"/>
  <c r="BB43"/>
  <c r="BT43" s="1"/>
  <c r="BB45"/>
  <c r="BT45" s="1"/>
  <c r="BB47"/>
  <c r="BT47" s="1"/>
  <c r="BB49"/>
  <c r="BT49" s="1"/>
  <c r="BB51"/>
  <c r="BT51" s="1"/>
  <c r="BB53"/>
  <c r="BT53" s="1"/>
  <c r="BB55"/>
  <c r="BT55" s="1"/>
  <c r="BB57"/>
  <c r="BT57" s="1"/>
  <c r="BB59"/>
  <c r="BT59" s="1"/>
  <c r="BB61"/>
  <c r="BT61" s="1"/>
  <c r="BB63"/>
  <c r="BT63" s="1"/>
  <c r="BB65"/>
  <c r="BT65" s="1"/>
  <c r="BB67"/>
  <c r="BT67" s="1"/>
  <c r="BB69"/>
  <c r="BT69" s="1"/>
  <c r="BB71"/>
  <c r="BT71" s="1"/>
  <c r="BB73"/>
  <c r="BT73" s="1"/>
  <c r="BB75"/>
  <c r="BT75" s="1"/>
  <c r="BB77"/>
  <c r="BT77" s="1"/>
  <c r="BB79"/>
  <c r="BT79" s="1"/>
  <c r="BB81"/>
  <c r="BT81" s="1"/>
  <c r="BB83"/>
  <c r="BT83" s="1"/>
  <c r="BB85"/>
  <c r="BT85" s="1"/>
  <c r="BB58"/>
  <c r="BT58" s="1"/>
  <c r="BB64"/>
  <c r="BT64" s="1"/>
  <c r="BB68"/>
  <c r="BT68" s="1"/>
  <c r="BB70"/>
  <c r="BT70" s="1"/>
  <c r="BB74"/>
  <c r="BT74" s="1"/>
  <c r="BB76"/>
  <c r="BT76" s="1"/>
  <c r="BB80"/>
  <c r="BT80" s="1"/>
  <c r="BB82"/>
  <c r="BT82" s="1"/>
  <c r="BB16"/>
  <c r="BT16" s="1"/>
  <c r="BB18"/>
  <c r="BT18" s="1"/>
  <c r="BB20"/>
  <c r="BT20" s="1"/>
  <c r="BB22"/>
  <c r="BT22" s="1"/>
  <c r="BB24"/>
  <c r="BT24" s="1"/>
  <c r="BB26"/>
  <c r="BT26" s="1"/>
  <c r="BB28"/>
  <c r="BT28" s="1"/>
  <c r="BB30"/>
  <c r="BT30" s="1"/>
  <c r="BB32"/>
  <c r="BT32" s="1"/>
  <c r="BB34"/>
  <c r="BT34" s="1"/>
  <c r="BB36"/>
  <c r="BT36" s="1"/>
  <c r="BB38"/>
  <c r="BT38" s="1"/>
  <c r="BB40"/>
  <c r="BT40" s="1"/>
  <c r="BB42"/>
  <c r="BT42" s="1"/>
  <c r="BB44"/>
  <c r="BT44" s="1"/>
  <c r="BB46"/>
  <c r="BT46" s="1"/>
  <c r="BB48"/>
  <c r="BT48" s="1"/>
  <c r="BB50"/>
  <c r="BT50" s="1"/>
  <c r="BB52"/>
  <c r="BT52" s="1"/>
  <c r="BB54"/>
  <c r="BT54" s="1"/>
  <c r="BB56"/>
  <c r="BT56" s="1"/>
  <c r="BB60"/>
  <c r="BT60" s="1"/>
  <c r="BB62"/>
  <c r="BT62" s="1"/>
  <c r="BB66"/>
  <c r="BT66" s="1"/>
  <c r="BB72"/>
  <c r="BT72" s="1"/>
  <c r="BB78"/>
  <c r="BT78" s="1"/>
  <c r="BB84"/>
  <c r="BT84" s="1"/>
  <c r="AZ18"/>
  <c r="BS18" s="1"/>
  <c r="AZ22"/>
  <c r="BS22" s="1"/>
  <c r="AZ26"/>
  <c r="BS26" s="1"/>
  <c r="AZ30"/>
  <c r="BS30" s="1"/>
  <c r="AZ38"/>
  <c r="BS38" s="1"/>
  <c r="AZ42"/>
  <c r="BS42" s="1"/>
  <c r="AZ46"/>
  <c r="BS46" s="1"/>
  <c r="AZ50"/>
  <c r="BS50" s="1"/>
  <c r="AZ54"/>
  <c r="BS54" s="1"/>
  <c r="AZ58"/>
  <c r="BS58" s="1"/>
  <c r="AZ62"/>
  <c r="BS62" s="1"/>
  <c r="AZ17"/>
  <c r="BS17" s="1"/>
  <c r="AZ21"/>
  <c r="BS21" s="1"/>
  <c r="AZ25"/>
  <c r="BS25" s="1"/>
  <c r="AZ29"/>
  <c r="BS29" s="1"/>
  <c r="AZ33"/>
  <c r="BS33" s="1"/>
  <c r="AZ37"/>
  <c r="BS37" s="1"/>
  <c r="AZ41"/>
  <c r="BS41" s="1"/>
  <c r="AZ45"/>
  <c r="BS45" s="1"/>
  <c r="AZ49"/>
  <c r="BS49" s="1"/>
  <c r="AZ53"/>
  <c r="BS53" s="1"/>
  <c r="AZ57"/>
  <c r="BS57" s="1"/>
  <c r="AZ61"/>
  <c r="BS61" s="1"/>
  <c r="AZ16"/>
  <c r="BS16" s="1"/>
  <c r="AZ20"/>
  <c r="BS20" s="1"/>
  <c r="AZ24"/>
  <c r="BS24" s="1"/>
  <c r="AZ28"/>
  <c r="BS28" s="1"/>
  <c r="AZ32"/>
  <c r="BS32" s="1"/>
  <c r="AZ36"/>
  <c r="BS36" s="1"/>
  <c r="AZ40"/>
  <c r="BS40" s="1"/>
  <c r="AZ44"/>
  <c r="BS44" s="1"/>
  <c r="AZ48"/>
  <c r="BS48" s="1"/>
  <c r="AZ52"/>
  <c r="BS52" s="1"/>
  <c r="AZ56"/>
  <c r="BS56" s="1"/>
  <c r="AZ60"/>
  <c r="BS60" s="1"/>
  <c r="AZ68"/>
  <c r="BS68" s="1"/>
  <c r="AZ72"/>
  <c r="BS72" s="1"/>
  <c r="AZ76"/>
  <c r="BS76" s="1"/>
  <c r="AZ80"/>
  <c r="BS80" s="1"/>
  <c r="AZ23"/>
  <c r="BS23" s="1"/>
  <c r="AZ39"/>
  <c r="BS39" s="1"/>
  <c r="AZ55"/>
  <c r="BS55" s="1"/>
  <c r="AZ66"/>
  <c r="BS66" s="1"/>
  <c r="AZ75"/>
  <c r="BS75" s="1"/>
  <c r="AZ19"/>
  <c r="BS19" s="1"/>
  <c r="AZ51"/>
  <c r="BS51" s="1"/>
  <c r="AZ70"/>
  <c r="BS70" s="1"/>
  <c r="AZ77"/>
  <c r="BS77" s="1"/>
  <c r="AZ79"/>
  <c r="BS79" s="1"/>
  <c r="AZ31"/>
  <c r="BS31" s="1"/>
  <c r="AZ47"/>
  <c r="BS47" s="1"/>
  <c r="AZ67"/>
  <c r="BS67" s="1"/>
  <c r="AZ74"/>
  <c r="BS74" s="1"/>
  <c r="AZ81"/>
  <c r="BS81" s="1"/>
  <c r="AZ83"/>
  <c r="BS83" s="1"/>
  <c r="AZ27"/>
  <c r="BS27" s="1"/>
  <c r="AZ43"/>
  <c r="BS43" s="1"/>
  <c r="AZ59"/>
  <c r="BS59" s="1"/>
  <c r="AZ69"/>
  <c r="BS69" s="1"/>
  <c r="AZ71"/>
  <c r="BS71" s="1"/>
  <c r="AZ78"/>
  <c r="BS78" s="1"/>
  <c r="AZ73"/>
  <c r="BS73" s="1"/>
  <c r="AZ82"/>
  <c r="BS82" s="1"/>
  <c r="AZ85"/>
  <c r="BS85" s="1"/>
  <c r="AT49"/>
  <c r="BP49" s="1"/>
  <c r="AT45"/>
  <c r="BP45" s="1"/>
  <c r="AT41"/>
  <c r="BP41" s="1"/>
  <c r="AT37"/>
  <c r="BP37" s="1"/>
  <c r="AT25"/>
  <c r="BP25" s="1"/>
  <c r="AT35"/>
  <c r="BP35" s="1"/>
  <c r="AT19"/>
  <c r="BP19" s="1"/>
  <c r="AT44"/>
  <c r="BP44" s="1"/>
  <c r="AT16"/>
  <c r="BP16" s="1"/>
  <c r="AT17"/>
  <c r="BP17" s="1"/>
  <c r="AT38"/>
  <c r="BP38" s="1"/>
  <c r="AT34"/>
  <c r="BP34" s="1"/>
  <c r="AT26"/>
  <c r="BP26" s="1"/>
  <c r="AT55"/>
  <c r="BP55" s="1"/>
  <c r="AT47"/>
  <c r="BP47" s="1"/>
  <c r="AT43"/>
  <c r="BP43" s="1"/>
  <c r="AT36"/>
  <c r="BP36" s="1"/>
  <c r="AT32"/>
  <c r="BP32" s="1"/>
  <c r="AT28"/>
  <c r="BP28" s="1"/>
  <c r="AT24"/>
  <c r="BP24" s="1"/>
  <c r="AT20"/>
  <c r="BP20" s="1"/>
  <c r="AT30"/>
  <c r="BP30" s="1"/>
  <c r="AT33"/>
  <c r="BP33" s="1"/>
  <c r="AT21"/>
  <c r="BP21" s="1"/>
  <c r="AT22"/>
  <c r="BP22" s="1"/>
  <c r="AT51"/>
  <c r="BP51" s="1"/>
  <c r="AT31"/>
  <c r="BP31" s="1"/>
  <c r="AT53"/>
  <c r="BP53" s="1"/>
  <c r="AT42"/>
  <c r="BP42" s="1"/>
  <c r="AT18"/>
  <c r="BP18" s="1"/>
  <c r="AT23"/>
  <c r="BP23" s="1"/>
  <c r="AT52"/>
  <c r="BP52" s="1"/>
  <c r="AT40"/>
  <c r="BP40" s="1"/>
  <c r="AT46"/>
  <c r="BP46" s="1"/>
  <c r="AT27"/>
  <c r="BP27" s="1"/>
  <c r="AT56"/>
  <c r="BP56" s="1"/>
  <c r="AT50"/>
  <c r="BP50" s="1"/>
  <c r="AT39"/>
  <c r="BP39" s="1"/>
  <c r="AT54"/>
  <c r="BP54" s="1"/>
  <c r="AT48"/>
  <c r="BP48" s="1"/>
  <c r="J132" i="44"/>
  <c r="K132"/>
  <c r="K207"/>
  <c r="J207"/>
  <c r="J432"/>
  <c r="K432"/>
  <c r="K282"/>
  <c r="J282"/>
  <c r="J357"/>
  <c r="J507"/>
  <c r="K507"/>
  <c r="K582"/>
  <c r="K357"/>
  <c r="K57"/>
  <c r="J582"/>
  <c r="J57"/>
  <c r="J54" i="45" l="1"/>
  <c r="K54"/>
  <c r="K535" i="44"/>
  <c r="J537"/>
  <c r="J535"/>
  <c r="K537"/>
  <c r="Q21" i="40"/>
  <c r="P21"/>
  <c r="Q9"/>
  <c r="P9"/>
  <c r="Q10"/>
  <c r="P10"/>
  <c r="Q8"/>
  <c r="P8"/>
  <c r="Q44"/>
  <c r="P44"/>
  <c r="Q46"/>
  <c r="P46"/>
  <c r="Q52"/>
  <c r="P52"/>
  <c r="Q51"/>
  <c r="P51"/>
  <c r="Q53"/>
  <c r="P53"/>
  <c r="Q47"/>
  <c r="P47"/>
  <c r="Q17"/>
  <c r="P17"/>
  <c r="Q18"/>
  <c r="P18"/>
  <c r="Q16"/>
  <c r="P16"/>
  <c r="Q15"/>
  <c r="P15"/>
  <c r="Q12"/>
  <c r="P12"/>
  <c r="Q45"/>
  <c r="P45"/>
  <c r="Q11"/>
  <c r="P11"/>
  <c r="Q13"/>
  <c r="P13"/>
  <c r="Q49"/>
  <c r="P49"/>
  <c r="Q50"/>
  <c r="P50"/>
  <c r="Q48"/>
  <c r="P48"/>
  <c r="Q20"/>
  <c r="P20"/>
  <c r="Q19"/>
  <c r="P19"/>
  <c r="Q36"/>
  <c r="P36"/>
  <c r="Q33"/>
  <c r="P33"/>
  <c r="Q31"/>
  <c r="P31"/>
  <c r="Q39"/>
  <c r="P39"/>
  <c r="Q30"/>
  <c r="P30"/>
  <c r="Q38"/>
  <c r="P38"/>
  <c r="Q35"/>
  <c r="P35"/>
  <c r="Q28"/>
  <c r="P28"/>
  <c r="Q34"/>
  <c r="P34"/>
  <c r="Q29"/>
  <c r="P29"/>
  <c r="Q32"/>
  <c r="P32"/>
  <c r="Q37"/>
  <c r="P37"/>
  <c r="Q40"/>
  <c r="P40"/>
  <c r="Q27"/>
  <c r="P27"/>
  <c r="Q43"/>
  <c r="P43"/>
  <c r="Q42"/>
  <c r="P42"/>
  <c r="Q41"/>
  <c r="P41"/>
  <c r="Q14"/>
  <c r="P14"/>
  <c r="L54" i="45" l="1"/>
  <c r="E69"/>
  <c r="AN85" i="42"/>
  <c r="F81" i="44"/>
  <c r="F69" i="45"/>
  <c r="AM85" i="42"/>
  <c r="E81" i="44"/>
  <c r="J550"/>
  <c r="J536"/>
  <c r="K567"/>
  <c r="J570"/>
  <c r="K570"/>
  <c r="J563"/>
  <c r="J566"/>
  <c r="K573"/>
  <c r="K545"/>
  <c r="J546"/>
  <c r="K550"/>
  <c r="J557"/>
  <c r="J564"/>
  <c r="J544"/>
  <c r="K575"/>
  <c r="J560"/>
  <c r="K559"/>
  <c r="J554"/>
  <c r="J551"/>
  <c r="K542"/>
  <c r="J572"/>
  <c r="J575"/>
  <c r="K566"/>
  <c r="K568"/>
  <c r="K576"/>
  <c r="K558"/>
  <c r="J580"/>
  <c r="J543"/>
  <c r="K580"/>
  <c r="K569"/>
  <c r="K577"/>
  <c r="J573"/>
  <c r="J545"/>
  <c r="K572"/>
  <c r="K551"/>
  <c r="J548"/>
  <c r="K557"/>
  <c r="J559"/>
  <c r="J567"/>
  <c r="J542"/>
  <c r="K562"/>
  <c r="K561"/>
  <c r="J569"/>
  <c r="J558"/>
  <c r="J565"/>
  <c r="J555"/>
  <c r="K556"/>
  <c r="K554"/>
  <c r="K536"/>
  <c r="K544"/>
  <c r="K538"/>
  <c r="K574"/>
  <c r="K565"/>
  <c r="J556"/>
  <c r="K547"/>
  <c r="J547"/>
  <c r="K539"/>
  <c r="J577"/>
  <c r="J576"/>
  <c r="K548"/>
  <c r="K563"/>
  <c r="J538"/>
  <c r="K564"/>
  <c r="J574"/>
  <c r="J539"/>
  <c r="K546"/>
  <c r="K555"/>
  <c r="J568"/>
  <c r="K560"/>
  <c r="J562"/>
  <c r="J561"/>
  <c r="K543"/>
  <c r="F10"/>
  <c r="F12"/>
  <c r="AN16" i="42"/>
  <c r="F13" i="44"/>
  <c r="AN17" i="42"/>
  <c r="F19" i="44"/>
  <c r="AN23" i="42"/>
  <c r="F21" i="44"/>
  <c r="AN25" i="42"/>
  <c r="F23" i="44"/>
  <c r="AN27" i="42"/>
  <c r="F25" i="44"/>
  <c r="AN29" i="42"/>
  <c r="F26" i="44"/>
  <c r="AN30" i="42"/>
  <c r="E27" i="44"/>
  <c r="AM31" i="42"/>
  <c r="F28" i="44"/>
  <c r="AN32" i="42"/>
  <c r="E33" i="44"/>
  <c r="AM37" i="42"/>
  <c r="E34" i="44"/>
  <c r="AM38" i="42"/>
  <c r="F35" i="44"/>
  <c r="AN39" i="42"/>
  <c r="E36" i="44"/>
  <c r="AM40" i="42"/>
  <c r="F37" i="44"/>
  <c r="AN41" i="42"/>
  <c r="F38" i="44"/>
  <c r="AN42" i="42"/>
  <c r="E40" i="44"/>
  <c r="AM44" i="42"/>
  <c r="E42" i="44"/>
  <c r="AM46" i="42"/>
  <c r="F43" i="44"/>
  <c r="AN47" i="42"/>
  <c r="F44" i="44"/>
  <c r="AN48" i="42"/>
  <c r="E45" i="44"/>
  <c r="AM49" i="42"/>
  <c r="E46" i="44"/>
  <c r="AM50" i="42"/>
  <c r="F48" i="44"/>
  <c r="AN52" i="42"/>
  <c r="E49" i="44"/>
  <c r="AM53" i="42"/>
  <c r="E50" i="44"/>
  <c r="AM54" i="42"/>
  <c r="E54" i="44"/>
  <c r="E51" i="45" s="1"/>
  <c r="AM58" i="42"/>
  <c r="F56" i="44"/>
  <c r="AN60" i="42"/>
  <c r="E59" i="44"/>
  <c r="AM63" i="42"/>
  <c r="F60" i="44"/>
  <c r="AN64" i="42"/>
  <c r="E63" i="44"/>
  <c r="AM67" i="42"/>
  <c r="F64" i="44"/>
  <c r="AN68" i="42"/>
  <c r="F65" i="44"/>
  <c r="AN69" i="42"/>
  <c r="E66" i="44"/>
  <c r="J64" s="1"/>
  <c r="AM70" i="42"/>
  <c r="F67" i="44"/>
  <c r="K65" s="1"/>
  <c r="AN71" i="42"/>
  <c r="E70" i="44"/>
  <c r="AM74" i="42"/>
  <c r="F71" i="44"/>
  <c r="AN75" i="42"/>
  <c r="E74" i="44"/>
  <c r="AM78" i="42"/>
  <c r="F75" i="44"/>
  <c r="AN79" i="42"/>
  <c r="E78" i="44"/>
  <c r="AM82" i="42"/>
  <c r="F79" i="44"/>
  <c r="AN83" i="42"/>
  <c r="E11" i="44"/>
  <c r="AM15" i="42"/>
  <c r="E14" i="44"/>
  <c r="AM18" i="42"/>
  <c r="E20" i="44"/>
  <c r="AM24" i="42"/>
  <c r="E22" i="44"/>
  <c r="AM26" i="42"/>
  <c r="F27" i="44"/>
  <c r="AN31" i="42"/>
  <c r="E30" i="44"/>
  <c r="AM34" i="42"/>
  <c r="E32" i="44"/>
  <c r="AM36" i="42"/>
  <c r="F33" i="44"/>
  <c r="AN37" i="42"/>
  <c r="F34" i="44"/>
  <c r="AN38" i="42"/>
  <c r="F36" i="44"/>
  <c r="AN40" i="42"/>
  <c r="E39" i="44"/>
  <c r="AM43" i="42"/>
  <c r="F40" i="44"/>
  <c r="AN44" i="42"/>
  <c r="E41" i="44"/>
  <c r="AM45" i="42"/>
  <c r="F42" i="44"/>
  <c r="AN46" i="42"/>
  <c r="F45" i="44"/>
  <c r="AN49" i="42"/>
  <c r="F46" i="44"/>
  <c r="AN50" i="42"/>
  <c r="F49" i="44"/>
  <c r="AN53" i="42"/>
  <c r="F50" i="44"/>
  <c r="AN54" i="42"/>
  <c r="F54" i="44"/>
  <c r="F51" i="45" s="1"/>
  <c r="AN58" i="42"/>
  <c r="E58" i="44"/>
  <c r="AM62" i="42"/>
  <c r="F59" i="44"/>
  <c r="AN63" i="42"/>
  <c r="E62" i="44"/>
  <c r="AM66" i="42"/>
  <c r="F63" i="44"/>
  <c r="AN67" i="42"/>
  <c r="F66" i="44"/>
  <c r="K64" s="1"/>
  <c r="AN70" i="42"/>
  <c r="E69" i="44"/>
  <c r="J27" s="1"/>
  <c r="AM73" i="42"/>
  <c r="F70" i="44"/>
  <c r="AN74" i="42"/>
  <c r="E73" i="44"/>
  <c r="AM77" i="42"/>
  <c r="F74" i="44"/>
  <c r="AN78" i="42"/>
  <c r="E77" i="44"/>
  <c r="AM81" i="42"/>
  <c r="F78" i="44"/>
  <c r="AN82" i="42"/>
  <c r="F11" i="44"/>
  <c r="AN15" i="42"/>
  <c r="F14" i="44"/>
  <c r="AN18" i="42"/>
  <c r="E15" i="44"/>
  <c r="AM19" i="42"/>
  <c r="E16" i="44"/>
  <c r="AM20" i="42"/>
  <c r="E17" i="44"/>
  <c r="AM21" i="42"/>
  <c r="E18" i="44"/>
  <c r="AM22" i="42"/>
  <c r="F20" i="44"/>
  <c r="AN24" i="42"/>
  <c r="F22" i="44"/>
  <c r="AN26" i="42"/>
  <c r="E24" i="44"/>
  <c r="AM28" i="42"/>
  <c r="E29" i="44"/>
  <c r="AM33" i="42"/>
  <c r="F30" i="44"/>
  <c r="AN34" i="42"/>
  <c r="E31" i="44"/>
  <c r="AM35" i="42"/>
  <c r="F32" i="44"/>
  <c r="AN36" i="42"/>
  <c r="F39" i="44"/>
  <c r="AN43" i="42"/>
  <c r="F41" i="44"/>
  <c r="AN45" i="42"/>
  <c r="E47" i="44"/>
  <c r="AM51" i="42"/>
  <c r="E51" i="44"/>
  <c r="AM55" i="42"/>
  <c r="E52" i="44"/>
  <c r="AM56" i="42"/>
  <c r="E53" i="44"/>
  <c r="AM57" i="42"/>
  <c r="E55" i="44"/>
  <c r="AM59" i="42"/>
  <c r="E57" i="44"/>
  <c r="AM61" i="42"/>
  <c r="F58" i="44"/>
  <c r="AN62" i="42"/>
  <c r="E61" i="44"/>
  <c r="AM65" i="42"/>
  <c r="F62" i="44"/>
  <c r="AN66" i="42"/>
  <c r="E68" i="44"/>
  <c r="AM72" i="42"/>
  <c r="F69" i="44"/>
  <c r="K27" s="1"/>
  <c r="AN73" i="42"/>
  <c r="AM76"/>
  <c r="F73" i="44"/>
  <c r="AN77" i="42"/>
  <c r="E76" i="44"/>
  <c r="AM80" i="42"/>
  <c r="F77" i="44"/>
  <c r="AN81" i="42"/>
  <c r="AM84"/>
  <c r="E10" i="44"/>
  <c r="E12"/>
  <c r="AM16" i="42"/>
  <c r="BM16" s="1"/>
  <c r="E13" i="44"/>
  <c r="AM17" i="42"/>
  <c r="F15" i="44"/>
  <c r="AN19" i="42"/>
  <c r="F16" i="44"/>
  <c r="AN20" i="42"/>
  <c r="F17" i="44"/>
  <c r="AN21" i="42"/>
  <c r="F18" i="44"/>
  <c r="AN22" i="42"/>
  <c r="E19" i="44"/>
  <c r="AM23" i="42"/>
  <c r="BM23" s="1"/>
  <c r="E21" i="44"/>
  <c r="AM25" i="42"/>
  <c r="E23" i="44"/>
  <c r="AM27" i="42"/>
  <c r="BM27" s="1"/>
  <c r="F24" i="44"/>
  <c r="AN28" i="42"/>
  <c r="E25" i="44"/>
  <c r="AM29" i="42"/>
  <c r="E26" i="44"/>
  <c r="AM30" i="42"/>
  <c r="BM30" s="1"/>
  <c r="E28" i="44"/>
  <c r="AM32" i="42"/>
  <c r="BM32" s="1"/>
  <c r="F29" i="44"/>
  <c r="AN33" i="42"/>
  <c r="F31" i="44"/>
  <c r="AN35" i="42"/>
  <c r="E35" i="44"/>
  <c r="AM39" i="42"/>
  <c r="E37" i="44"/>
  <c r="AM41" i="42"/>
  <c r="E38" i="44"/>
  <c r="AM42" i="42"/>
  <c r="BM42" s="1"/>
  <c r="E43" i="44"/>
  <c r="AM47" i="42"/>
  <c r="E44" i="44"/>
  <c r="AM48" i="42"/>
  <c r="BM48" s="1"/>
  <c r="F47" i="44"/>
  <c r="AN51" i="42"/>
  <c r="E48" i="44"/>
  <c r="AM52" i="42"/>
  <c r="F51" i="44"/>
  <c r="AN55" i="42"/>
  <c r="F52" i="44"/>
  <c r="AN56" i="42"/>
  <c r="F53" i="44"/>
  <c r="AN57" i="42"/>
  <c r="F55" i="44"/>
  <c r="AN59" i="42"/>
  <c r="E56" i="44"/>
  <c r="AM60" i="42"/>
  <c r="F57" i="44"/>
  <c r="AN61" i="42"/>
  <c r="E60" i="44"/>
  <c r="AM64" i="42"/>
  <c r="F61" i="44"/>
  <c r="AN65" i="42"/>
  <c r="E64" i="44"/>
  <c r="AM68" i="42"/>
  <c r="E65" i="44"/>
  <c r="AM69" i="42"/>
  <c r="BM69" s="1"/>
  <c r="E67" i="44"/>
  <c r="J65" s="1"/>
  <c r="AM71" i="42"/>
  <c r="BM71" s="1"/>
  <c r="F68" i="44"/>
  <c r="AN72" i="42"/>
  <c r="E71" i="44"/>
  <c r="AM75" i="42"/>
  <c r="BM75" s="1"/>
  <c r="AN76"/>
  <c r="E75" i="44"/>
  <c r="AM79" i="42"/>
  <c r="BM79" s="1"/>
  <c r="F76" i="44"/>
  <c r="AN80" i="42"/>
  <c r="E79" i="44"/>
  <c r="AM83" i="42"/>
  <c r="BM83" s="1"/>
  <c r="AN84"/>
  <c r="P8" i="29"/>
  <c r="P31"/>
  <c r="P37"/>
  <c r="P14"/>
  <c r="Q44"/>
  <c r="Q11"/>
  <c r="Q49"/>
  <c r="BM57" i="42" l="1"/>
  <c r="BM55"/>
  <c r="BM21"/>
  <c r="BM81"/>
  <c r="BM77"/>
  <c r="K24" i="44"/>
  <c r="L4" i="45"/>
  <c r="O54"/>
  <c r="P54" s="1"/>
  <c r="BM80" i="42"/>
  <c r="BM72"/>
  <c r="BM65"/>
  <c r="BM61"/>
  <c r="BM28"/>
  <c r="BM73"/>
  <c r="BM43"/>
  <c r="BM82"/>
  <c r="BM78"/>
  <c r="BM74"/>
  <c r="BM70"/>
  <c r="BM54"/>
  <c r="BM44"/>
  <c r="BM37"/>
  <c r="BM36"/>
  <c r="BM24"/>
  <c r="BM31"/>
  <c r="BM25"/>
  <c r="BM17"/>
  <c r="BM84"/>
  <c r="BM59"/>
  <c r="BM56"/>
  <c r="BM51"/>
  <c r="BM35"/>
  <c r="BM33"/>
  <c r="BM22"/>
  <c r="BM20"/>
  <c r="BM66"/>
  <c r="BM62"/>
  <c r="BM34"/>
  <c r="BM26"/>
  <c r="BM18"/>
  <c r="BM67"/>
  <c r="BM63"/>
  <c r="BM58"/>
  <c r="BM53"/>
  <c r="BM50"/>
  <c r="BM46"/>
  <c r="BM40"/>
  <c r="BM38"/>
  <c r="BM85"/>
  <c r="BM45"/>
  <c r="BM15"/>
  <c r="BM49"/>
  <c r="BM52"/>
  <c r="BM39"/>
  <c r="BM68"/>
  <c r="BM64"/>
  <c r="BM60"/>
  <c r="BM47"/>
  <c r="BM41"/>
  <c r="BM29"/>
  <c r="BM19"/>
  <c r="BM76"/>
  <c r="J24" i="44"/>
  <c r="K62"/>
  <c r="J62"/>
  <c r="K61"/>
  <c r="J66"/>
  <c r="J61"/>
  <c r="K60"/>
  <c r="K66"/>
  <c r="K63"/>
  <c r="J63"/>
  <c r="J60"/>
  <c r="J17"/>
  <c r="J13"/>
  <c r="K51"/>
  <c r="J50"/>
  <c r="J21"/>
  <c r="K30"/>
  <c r="K31"/>
  <c r="K20"/>
  <c r="K47"/>
  <c r="J52"/>
  <c r="K35"/>
  <c r="J40"/>
  <c r="J31"/>
  <c r="K39"/>
  <c r="K29"/>
  <c r="J43"/>
  <c r="K22"/>
  <c r="J35"/>
  <c r="J32"/>
  <c r="K37"/>
  <c r="K36"/>
  <c r="J34"/>
  <c r="J42"/>
  <c r="K45"/>
  <c r="K18"/>
  <c r="K15"/>
  <c r="J22"/>
  <c r="J38"/>
  <c r="K41"/>
  <c r="J37"/>
  <c r="J45"/>
  <c r="K33"/>
  <c r="K40"/>
  <c r="K44"/>
  <c r="J18"/>
  <c r="K14"/>
  <c r="J15"/>
  <c r="K52"/>
  <c r="J41"/>
  <c r="K43"/>
  <c r="K26"/>
  <c r="J14"/>
  <c r="J51"/>
  <c r="J33"/>
  <c r="K32"/>
  <c r="J30"/>
  <c r="K34"/>
  <c r="K42"/>
  <c r="J44"/>
  <c r="J26"/>
  <c r="J20"/>
  <c r="J47"/>
  <c r="K38"/>
  <c r="J39"/>
  <c r="J29"/>
  <c r="K16"/>
  <c r="K17"/>
  <c r="K13"/>
  <c r="K50"/>
  <c r="K21"/>
  <c r="J36"/>
  <c r="J16"/>
  <c r="J23"/>
  <c r="K10"/>
  <c r="K54"/>
  <c r="J10"/>
  <c r="J54"/>
  <c r="K49"/>
  <c r="K11"/>
  <c r="J48"/>
  <c r="K55"/>
  <c r="J11"/>
  <c r="K53"/>
  <c r="K25"/>
  <c r="J53"/>
  <c r="K19"/>
  <c r="J25"/>
  <c r="K12"/>
  <c r="K48"/>
  <c r="J19"/>
  <c r="J12"/>
  <c r="K46"/>
  <c r="J49"/>
  <c r="K23"/>
  <c r="J46"/>
  <c r="J55"/>
  <c r="F15" i="45"/>
  <c r="AV22" i="42"/>
  <c r="F31" i="45"/>
  <c r="AV38" i="42"/>
  <c r="F42" i="45"/>
  <c r="AV49" i="42"/>
  <c r="F57" i="45"/>
  <c r="AV64" i="42"/>
  <c r="F68" i="45"/>
  <c r="AV75" i="42"/>
  <c r="E24" i="45"/>
  <c r="AU31" i="42"/>
  <c r="E35" i="45"/>
  <c r="AU42" i="42"/>
  <c r="E47" i="45"/>
  <c r="AU54" i="42"/>
  <c r="AU67"/>
  <c r="E75" i="45"/>
  <c r="AU82" i="42"/>
  <c r="F8" i="45"/>
  <c r="AV15" i="42"/>
  <c r="F12" i="45"/>
  <c r="AV19" i="42"/>
  <c r="F16" i="45"/>
  <c r="AV23" i="42"/>
  <c r="F20" i="45"/>
  <c r="AV27" i="42"/>
  <c r="F24" i="45"/>
  <c r="AV31" i="42"/>
  <c r="F28" i="45"/>
  <c r="AV35" i="42"/>
  <c r="F32" i="45"/>
  <c r="AV39" i="42"/>
  <c r="F36" i="45"/>
  <c r="AV43" i="42"/>
  <c r="F40" i="45"/>
  <c r="AV47" i="42"/>
  <c r="F46" i="45"/>
  <c r="AV53" i="42"/>
  <c r="F54" i="45"/>
  <c r="AV61" i="42"/>
  <c r="F58" i="45"/>
  <c r="AV65" i="42"/>
  <c r="F62" i="45"/>
  <c r="AV69" i="42"/>
  <c r="AV72"/>
  <c r="AV76"/>
  <c r="AV79"/>
  <c r="F76" i="45"/>
  <c r="AV83" i="42"/>
  <c r="E11" i="45"/>
  <c r="AU18" i="42"/>
  <c r="E14" i="45"/>
  <c r="AU21" i="42"/>
  <c r="E17" i="45"/>
  <c r="AU24" i="42"/>
  <c r="E21" i="45"/>
  <c r="AU28" i="42"/>
  <c r="E28" i="45"/>
  <c r="AU35" i="42"/>
  <c r="E32" i="45"/>
  <c r="AU39" i="42"/>
  <c r="E36" i="45"/>
  <c r="AU43" i="42"/>
  <c r="E40" i="45"/>
  <c r="AU47" i="42"/>
  <c r="E44" i="45"/>
  <c r="AU51" i="42"/>
  <c r="E48" i="45"/>
  <c r="AU55" i="42"/>
  <c r="AU60"/>
  <c r="E57" i="45"/>
  <c r="AU64" i="42"/>
  <c r="E61" i="45"/>
  <c r="AU68" i="42"/>
  <c r="AU72"/>
  <c r="AU76"/>
  <c r="J310" i="44"/>
  <c r="AU79" i="42"/>
  <c r="E76" i="45"/>
  <c r="AU83" i="42"/>
  <c r="F11" i="45"/>
  <c r="AV18" i="42"/>
  <c r="F23" i="45"/>
  <c r="AV30" i="42"/>
  <c r="F35" i="45"/>
  <c r="AV42" i="42"/>
  <c r="F45" i="45"/>
  <c r="AV52" i="42"/>
  <c r="F61" i="45"/>
  <c r="AV68" i="42"/>
  <c r="F71" i="45"/>
  <c r="AV78" i="42"/>
  <c r="E10" i="45"/>
  <c r="AU17" i="42"/>
  <c r="E20" i="45"/>
  <c r="AU27" i="42"/>
  <c r="E31" i="45"/>
  <c r="AU38" i="42"/>
  <c r="E43" i="45"/>
  <c r="AU50" i="42"/>
  <c r="AU63"/>
  <c r="E68" i="45"/>
  <c r="AU75" i="42"/>
  <c r="F9" i="45"/>
  <c r="F13"/>
  <c r="AV20" i="42"/>
  <c r="F17" i="45"/>
  <c r="AV24" i="42"/>
  <c r="F21" i="45"/>
  <c r="AV28" i="42"/>
  <c r="F25" i="45"/>
  <c r="AV32" i="42"/>
  <c r="F29" i="45"/>
  <c r="AV36" i="42"/>
  <c r="F33" i="45"/>
  <c r="AV40" i="42"/>
  <c r="F37" i="45"/>
  <c r="AV44" i="42"/>
  <c r="F43" i="45"/>
  <c r="AV50" i="42"/>
  <c r="F47" i="45"/>
  <c r="AV54" i="42"/>
  <c r="F52" i="45"/>
  <c r="AV62" i="42"/>
  <c r="AV66"/>
  <c r="F66" i="45"/>
  <c r="AV73" i="42"/>
  <c r="AV80"/>
  <c r="AV84"/>
  <c r="E8" i="45"/>
  <c r="AU15" i="42"/>
  <c r="E12" i="45"/>
  <c r="AU19" i="42"/>
  <c r="E15" i="45"/>
  <c r="AU22" i="42"/>
  <c r="E18" i="45"/>
  <c r="AU25" i="42"/>
  <c r="AU29"/>
  <c r="E25" i="45"/>
  <c r="AU32" i="42"/>
  <c r="BQ32" s="1"/>
  <c r="E29" i="45"/>
  <c r="AU36" i="42"/>
  <c r="BQ36" s="1"/>
  <c r="E33" i="45"/>
  <c r="AU40" i="42"/>
  <c r="E37" i="45"/>
  <c r="AU44" i="42"/>
  <c r="BQ44" s="1"/>
  <c r="E41" i="45"/>
  <c r="AU48" i="42"/>
  <c r="E45" i="45"/>
  <c r="AU52" i="42"/>
  <c r="E54" i="45"/>
  <c r="AU61" i="42"/>
  <c r="BQ61" s="1"/>
  <c r="E58" i="45"/>
  <c r="AU65" i="42"/>
  <c r="BQ65" s="1"/>
  <c r="E62" i="45"/>
  <c r="AU69" i="42"/>
  <c r="BQ69" s="1"/>
  <c r="E66" i="45"/>
  <c r="AU73" i="42"/>
  <c r="J346" i="44"/>
  <c r="AU77" i="42"/>
  <c r="AU80"/>
  <c r="AU84"/>
  <c r="F7" i="45"/>
  <c r="F19"/>
  <c r="AV26" i="42"/>
  <c r="F27" i="45"/>
  <c r="AV34" i="42"/>
  <c r="F39" i="45"/>
  <c r="AV46" i="42"/>
  <c r="F53" i="45"/>
  <c r="AV60" i="42"/>
  <c r="K365" i="44"/>
  <c r="AV71" i="42"/>
  <c r="F75" i="45"/>
  <c r="AV82" i="42"/>
  <c r="E7" i="45"/>
  <c r="E16"/>
  <c r="AU23" i="42"/>
  <c r="E27" i="45"/>
  <c r="AU34" i="42"/>
  <c r="E39" i="45"/>
  <c r="AU46" i="42"/>
  <c r="E52" i="45"/>
  <c r="AU59" i="42"/>
  <c r="BQ59" s="1"/>
  <c r="J365" i="44"/>
  <c r="AU71" i="42"/>
  <c r="F10" i="45"/>
  <c r="AV17" i="42"/>
  <c r="F14" i="45"/>
  <c r="AV21" i="42"/>
  <c r="F18" i="45"/>
  <c r="AV25" i="42"/>
  <c r="AV29"/>
  <c r="F26" i="45"/>
  <c r="AV33" i="42"/>
  <c r="AV37"/>
  <c r="F34" i="45"/>
  <c r="AV41" i="42"/>
  <c r="F38" i="45"/>
  <c r="AV45" i="42"/>
  <c r="F41" i="45"/>
  <c r="AV48" i="42"/>
  <c r="F44" i="45"/>
  <c r="AV51" i="42"/>
  <c r="F48" i="45"/>
  <c r="AV55" i="42"/>
  <c r="Q17" i="29"/>
  <c r="F56" i="45"/>
  <c r="AV63" i="42"/>
  <c r="AV67"/>
  <c r="K364" i="44"/>
  <c r="AV70" i="42"/>
  <c r="F67" i="45"/>
  <c r="AV74" i="42"/>
  <c r="AV77"/>
  <c r="F74" i="45"/>
  <c r="AV81" i="42"/>
  <c r="F78" i="45"/>
  <c r="AV85" i="42"/>
  <c r="E9" i="45"/>
  <c r="AU16" i="42"/>
  <c r="BQ16" s="1"/>
  <c r="E13" i="45"/>
  <c r="AU20" i="42"/>
  <c r="P29" i="29"/>
  <c r="E19" i="45"/>
  <c r="AU26" i="42"/>
  <c r="E23" i="45"/>
  <c r="AU30" i="42"/>
  <c r="BQ30" s="1"/>
  <c r="E26" i="45"/>
  <c r="AU33" i="42"/>
  <c r="AU37"/>
  <c r="E34" i="45"/>
  <c r="AU41" i="42"/>
  <c r="E38" i="45"/>
  <c r="AU45" i="42"/>
  <c r="E42" i="45"/>
  <c r="AU49" i="42"/>
  <c r="BQ49" s="1"/>
  <c r="E46" i="45"/>
  <c r="AU53" i="42"/>
  <c r="E55" i="45"/>
  <c r="AU62" i="42"/>
  <c r="AU66"/>
  <c r="J364" i="44"/>
  <c r="AU70" i="42"/>
  <c r="BQ70" s="1"/>
  <c r="E67" i="45"/>
  <c r="AU74" i="42"/>
  <c r="BQ74" s="1"/>
  <c r="E71" i="45"/>
  <c r="AU78" i="42"/>
  <c r="BQ78" s="1"/>
  <c r="E74" i="45"/>
  <c r="AU81" i="42"/>
  <c r="E78" i="45"/>
  <c r="AU85" i="42"/>
  <c r="BQ85" s="1"/>
  <c r="Q16" i="29"/>
  <c r="Q52"/>
  <c r="P27"/>
  <c r="P38"/>
  <c r="Q12"/>
  <c r="Q53"/>
  <c r="P42"/>
  <c r="P28"/>
  <c r="P36"/>
  <c r="P9"/>
  <c r="Q27"/>
  <c r="Q38"/>
  <c r="P13"/>
  <c r="Q41"/>
  <c r="Q40"/>
  <c r="Q34"/>
  <c r="Q30"/>
  <c r="Q31"/>
  <c r="Q19"/>
  <c r="Q48"/>
  <c r="Q9"/>
  <c r="P48"/>
  <c r="P11"/>
  <c r="P16"/>
  <c r="P51"/>
  <c r="Q14"/>
  <c r="Q10"/>
  <c r="P20"/>
  <c r="Q42"/>
  <c r="Q37"/>
  <c r="Q28"/>
  <c r="Q33"/>
  <c r="Q47"/>
  <c r="Q51"/>
  <c r="Q46"/>
  <c r="Q21"/>
  <c r="P41"/>
  <c r="P43"/>
  <c r="P40"/>
  <c r="P32"/>
  <c r="P34"/>
  <c r="P35"/>
  <c r="P30"/>
  <c r="P39"/>
  <c r="P33"/>
  <c r="P50"/>
  <c r="P45"/>
  <c r="P18"/>
  <c r="P17"/>
  <c r="P52"/>
  <c r="Q29"/>
  <c r="Q39"/>
  <c r="P15"/>
  <c r="P53"/>
  <c r="Q43"/>
  <c r="Q32"/>
  <c r="Q35"/>
  <c r="Q36"/>
  <c r="Q20"/>
  <c r="Q50"/>
  <c r="Q13"/>
  <c r="Q45"/>
  <c r="Q15"/>
  <c r="Q18"/>
  <c r="Q8"/>
  <c r="P19"/>
  <c r="P49"/>
  <c r="P12"/>
  <c r="P47"/>
  <c r="P46"/>
  <c r="P44"/>
  <c r="P10"/>
  <c r="P21"/>
  <c r="BQ19" i="42" l="1"/>
  <c r="BQ27"/>
  <c r="BQ76"/>
  <c r="BQ64"/>
  <c r="BQ53"/>
  <c r="BQ20"/>
  <c r="BQ43"/>
  <c r="BQ35"/>
  <c r="BQ41"/>
  <c r="BQ38"/>
  <c r="BQ79"/>
  <c r="BQ62"/>
  <c r="BQ80"/>
  <c r="BQ25"/>
  <c r="BQ55"/>
  <c r="BQ47"/>
  <c r="BQ39"/>
  <c r="BQ28"/>
  <c r="BQ21"/>
  <c r="BQ42"/>
  <c r="BQ40"/>
  <c r="BQ34"/>
  <c r="BQ77"/>
  <c r="BQ48"/>
  <c r="BQ67"/>
  <c r="BQ33"/>
  <c r="BQ73"/>
  <c r="BQ63"/>
  <c r="BQ45"/>
  <c r="BQ37"/>
  <c r="BQ22"/>
  <c r="BQ15"/>
  <c r="BQ75"/>
  <c r="BQ72"/>
  <c r="BQ51"/>
  <c r="BQ24"/>
  <c r="BQ18"/>
  <c r="BQ54"/>
  <c r="BQ31"/>
  <c r="BQ50"/>
  <c r="BQ83"/>
  <c r="BQ81"/>
  <c r="BQ66"/>
  <c r="BQ26"/>
  <c r="BQ71"/>
  <c r="BQ46"/>
  <c r="BQ23"/>
  <c r="BQ84"/>
  <c r="BQ52"/>
  <c r="BQ29"/>
  <c r="BQ17"/>
  <c r="BQ68"/>
  <c r="BQ60"/>
  <c r="BQ82"/>
  <c r="E59" i="45"/>
  <c r="J362" i="44"/>
  <c r="E30" i="45"/>
  <c r="J361" i="44"/>
  <c r="J58" i="45" s="1"/>
  <c r="F30"/>
  <c r="K361" i="44"/>
  <c r="K58" i="45" s="1"/>
  <c r="E22"/>
  <c r="J360" i="44"/>
  <c r="J57" i="45" s="1"/>
  <c r="F59"/>
  <c r="K362" i="44"/>
  <c r="F65" i="45"/>
  <c r="K366" i="44"/>
  <c r="K63" i="45" s="1"/>
  <c r="E65"/>
  <c r="J366" i="44"/>
  <c r="J63" i="45" s="1"/>
  <c r="F22"/>
  <c r="K360" i="44"/>
  <c r="K57" i="45" s="1"/>
  <c r="E203" i="44"/>
  <c r="J64" i="45"/>
  <c r="K355" i="44"/>
  <c r="K52" i="45" s="1"/>
  <c r="F55"/>
  <c r="J353" i="44"/>
  <c r="J50" i="45" s="1"/>
  <c r="E56"/>
  <c r="J319" i="44"/>
  <c r="J16" i="45" s="1"/>
  <c r="E53"/>
  <c r="K64"/>
  <c r="J354" i="44"/>
  <c r="J51" i="45" s="1"/>
  <c r="K348" i="44"/>
  <c r="K45" i="45" s="1"/>
  <c r="K325" i="44"/>
  <c r="K22" i="45" s="1"/>
  <c r="K346" i="44"/>
  <c r="K353"/>
  <c r="K50" i="45" s="1"/>
  <c r="K310" i="44"/>
  <c r="K323"/>
  <c r="K20" i="45" s="1"/>
  <c r="J325" i="44"/>
  <c r="J22" i="45" s="1"/>
  <c r="K349" i="44"/>
  <c r="K46" i="45" s="1"/>
  <c r="J323" i="44"/>
  <c r="J20" i="45" s="1"/>
  <c r="K319" i="44"/>
  <c r="K16" i="45" s="1"/>
  <c r="K354" i="44"/>
  <c r="K51" i="45" s="1"/>
  <c r="J355" i="44"/>
  <c r="J52" i="45" s="1"/>
  <c r="J312" i="44"/>
  <c r="J348"/>
  <c r="J45" i="45" s="1"/>
  <c r="K311" i="44"/>
  <c r="K8" i="45" s="1"/>
  <c r="K312" i="44"/>
  <c r="J311"/>
  <c r="J8" i="45" s="1"/>
  <c r="J349" i="44"/>
  <c r="J46" i="45" s="1"/>
  <c r="J343" i="44"/>
  <c r="J40" i="45" s="1"/>
  <c r="J344" i="44"/>
  <c r="J41" i="45" s="1"/>
  <c r="K345" i="44"/>
  <c r="K42" i="45" s="1"/>
  <c r="J320" i="44"/>
  <c r="J17" i="45" s="1"/>
  <c r="J352" i="44"/>
  <c r="J49" i="45" s="1"/>
  <c r="K327" i="44"/>
  <c r="K24" i="45" s="1"/>
  <c r="K317" i="44"/>
  <c r="K14" i="45" s="1"/>
  <c r="K340" i="44"/>
  <c r="K37" i="45" s="1"/>
  <c r="J21"/>
  <c r="J317" i="44"/>
  <c r="J14" i="45" s="1"/>
  <c r="J322" i="44"/>
  <c r="J19" i="45" s="1"/>
  <c r="K320" i="44"/>
  <c r="K17" i="45" s="1"/>
  <c r="K351" i="44"/>
  <c r="K48" i="45" s="1"/>
  <c r="K335" i="44"/>
  <c r="K32" i="45" s="1"/>
  <c r="K330" i="44"/>
  <c r="K27" i="45" s="1"/>
  <c r="K344" i="44"/>
  <c r="K41" i="45" s="1"/>
  <c r="J338" i="44"/>
  <c r="J35" i="45" s="1"/>
  <c r="J326" i="44"/>
  <c r="J23" i="45" s="1"/>
  <c r="K350" i="44"/>
  <c r="K47" i="45" s="1"/>
  <c r="K337" i="44"/>
  <c r="K34" i="45" s="1"/>
  <c r="J351" i="44"/>
  <c r="J48" i="45" s="1"/>
  <c r="J333" i="44"/>
  <c r="J30" i="45" s="1"/>
  <c r="J330" i="44"/>
  <c r="J27" i="45" s="1"/>
  <c r="J329" i="44"/>
  <c r="J26" i="45" s="1"/>
  <c r="K313" i="44"/>
  <c r="K10" i="45" s="1"/>
  <c r="K333" i="44"/>
  <c r="K30" i="45" s="1"/>
  <c r="K336" i="44"/>
  <c r="K33" i="45" s="1"/>
  <c r="K343" i="44"/>
  <c r="K40" i="45" s="1"/>
  <c r="J342" i="44"/>
  <c r="J39" i="45" s="1"/>
  <c r="K324" i="44"/>
  <c r="K21" i="45" s="1"/>
  <c r="K318" i="44"/>
  <c r="K15" i="45" s="1"/>
  <c r="K321" i="44"/>
  <c r="K18" i="45" s="1"/>
  <c r="K332" i="44"/>
  <c r="K29" i="45" s="1"/>
  <c r="K342" i="44"/>
  <c r="K39" i="45" s="1"/>
  <c r="J313" i="44"/>
  <c r="J10" i="45" s="1"/>
  <c r="J340" i="44"/>
  <c r="J37" i="45" s="1"/>
  <c r="K314" i="44"/>
  <c r="K11" i="45" s="1"/>
  <c r="J327" i="44"/>
  <c r="J24" i="45" s="1"/>
  <c r="J347" i="44"/>
  <c r="J44" i="45" s="1"/>
  <c r="J336" i="44"/>
  <c r="J33" i="45" s="1"/>
  <c r="J345" i="44"/>
  <c r="J42" i="45" s="1"/>
  <c r="K352" i="44"/>
  <c r="K49" i="45" s="1"/>
  <c r="K341" i="44"/>
  <c r="K38" i="45" s="1"/>
  <c r="K331" i="44"/>
  <c r="K28" i="45" s="1"/>
  <c r="K316" i="44"/>
  <c r="K13" i="45" s="1"/>
  <c r="J318" i="44"/>
  <c r="J15" i="45" s="1"/>
  <c r="J341" i="44"/>
  <c r="J38" i="45" s="1"/>
  <c r="K315" i="44"/>
  <c r="K12" i="45" s="1"/>
  <c r="K334" i="44"/>
  <c r="K31" i="45" s="1"/>
  <c r="J332" i="44"/>
  <c r="J29" i="45" s="1"/>
  <c r="J339" i="44"/>
  <c r="J36" i="45" s="1"/>
  <c r="K329" i="44"/>
  <c r="K26" i="45" s="1"/>
  <c r="J315" i="44"/>
  <c r="J12" i="45" s="1"/>
  <c r="J335" i="44"/>
  <c r="J32" i="45" s="1"/>
  <c r="J337" i="44"/>
  <c r="J34" i="45" s="1"/>
  <c r="K347" i="44"/>
  <c r="K44" i="45" s="1"/>
  <c r="K322" i="44"/>
  <c r="K19" i="45" s="1"/>
  <c r="K339" i="44"/>
  <c r="K36" i="45" s="1"/>
  <c r="J350" i="44"/>
  <c r="J47" i="45" s="1"/>
  <c r="J331" i="44"/>
  <c r="J28" i="45" s="1"/>
  <c r="K338" i="44"/>
  <c r="K35" i="45" s="1"/>
  <c r="K326" i="44"/>
  <c r="K23" i="45" s="1"/>
  <c r="J314" i="44"/>
  <c r="J11" i="45" s="1"/>
  <c r="J321" i="44"/>
  <c r="J18" i="45" s="1"/>
  <c r="J334" i="44"/>
  <c r="J31" i="45" s="1"/>
  <c r="J316" i="44"/>
  <c r="J13" i="45" s="1"/>
  <c r="L18" l="1"/>
  <c r="F598" i="44"/>
  <c r="E448"/>
  <c r="E598"/>
  <c r="J438"/>
  <c r="F588"/>
  <c r="K587" s="1"/>
  <c r="K59" i="45" s="1"/>
  <c r="E588" i="44"/>
  <c r="J587" s="1"/>
  <c r="J59" i="45" s="1"/>
  <c r="K438" i="44"/>
  <c r="E217"/>
  <c r="F217"/>
  <c r="L32" i="45"/>
  <c r="L29"/>
  <c r="L22"/>
  <c r="L33"/>
  <c r="L13"/>
  <c r="O13" s="1"/>
  <c r="P13" s="1"/>
  <c r="L45"/>
  <c r="O45" s="1"/>
  <c r="P45" s="1"/>
  <c r="L46"/>
  <c r="L64"/>
  <c r="O64" s="1"/>
  <c r="P64" s="1"/>
  <c r="L14"/>
  <c r="L11"/>
  <c r="L34"/>
  <c r="L47"/>
  <c r="L35"/>
  <c r="O35" s="1"/>
  <c r="P35" s="1"/>
  <c r="L58"/>
  <c r="L49"/>
  <c r="L31"/>
  <c r="L36"/>
  <c r="L38"/>
  <c r="L19"/>
  <c r="L17"/>
  <c r="L41"/>
  <c r="L20"/>
  <c r="L30"/>
  <c r="L26"/>
  <c r="L51"/>
  <c r="O51" s="1"/>
  <c r="P51" s="1"/>
  <c r="L42"/>
  <c r="L39"/>
  <c r="L27"/>
  <c r="L40"/>
  <c r="L50"/>
  <c r="O50" s="1"/>
  <c r="P50" s="1"/>
  <c r="L57"/>
  <c r="L12"/>
  <c r="L15"/>
  <c r="L37"/>
  <c r="L63"/>
  <c r="L28"/>
  <c r="L44"/>
  <c r="L10"/>
  <c r="L48"/>
  <c r="L23"/>
  <c r="O23" s="1"/>
  <c r="P23" s="1"/>
  <c r="L21"/>
  <c r="L8"/>
  <c r="L52"/>
  <c r="L16"/>
  <c r="L24"/>
  <c r="F203" i="44"/>
  <c r="F202"/>
  <c r="E202"/>
  <c r="J213" s="1"/>
  <c r="F448"/>
  <c r="O24" i="45" l="1"/>
  <c r="P24" s="1"/>
  <c r="O21"/>
  <c r="P21" s="1"/>
  <c r="O44"/>
  <c r="P44" s="1"/>
  <c r="P15"/>
  <c r="O15"/>
  <c r="O40"/>
  <c r="P40" s="1"/>
  <c r="O32"/>
  <c r="P32" s="1"/>
  <c r="O16"/>
  <c r="P16" s="1"/>
  <c r="P28"/>
  <c r="O28"/>
  <c r="O12"/>
  <c r="P12" s="1"/>
  <c r="O27"/>
  <c r="P27" s="1"/>
  <c r="O31"/>
  <c r="P31" s="1"/>
  <c r="P47"/>
  <c r="O47"/>
  <c r="O33"/>
  <c r="P33" s="1"/>
  <c r="O8"/>
  <c r="P8" s="1"/>
  <c r="O10"/>
  <c r="P10" s="1"/>
  <c r="P37"/>
  <c r="O37"/>
  <c r="O42"/>
  <c r="P42" s="1"/>
  <c r="O20"/>
  <c r="P20" s="1"/>
  <c r="O38"/>
  <c r="P38" s="1"/>
  <c r="P58"/>
  <c r="O58"/>
  <c r="O11"/>
  <c r="P11" s="1"/>
  <c r="O29"/>
  <c r="P29" s="1"/>
  <c r="O41"/>
  <c r="P41" s="1"/>
  <c r="P36"/>
  <c r="O36"/>
  <c r="O14"/>
  <c r="P14" s="1"/>
  <c r="O26"/>
  <c r="P26" s="1"/>
  <c r="K213" i="44"/>
  <c r="O52" i="45"/>
  <c r="P52" s="1"/>
  <c r="O48"/>
  <c r="P48" s="1"/>
  <c r="O63"/>
  <c r="P63" s="1"/>
  <c r="P57"/>
  <c r="O57"/>
  <c r="O39"/>
  <c r="P39" s="1"/>
  <c r="O30"/>
  <c r="P30" s="1"/>
  <c r="O19"/>
  <c r="P19" s="1"/>
  <c r="P49"/>
  <c r="O49"/>
  <c r="O34"/>
  <c r="P34" s="1"/>
  <c r="O46"/>
  <c r="P46" s="1"/>
  <c r="O22"/>
  <c r="P22" s="1"/>
  <c r="P18"/>
  <c r="O18"/>
  <c r="O17"/>
  <c r="P17" s="1"/>
  <c r="F60"/>
  <c r="L59"/>
  <c r="K363" i="44"/>
  <c r="E60" i="45"/>
  <c r="J363" i="44"/>
  <c r="K215"/>
  <c r="K62" i="45" s="1"/>
  <c r="F64"/>
  <c r="J215" i="44"/>
  <c r="J62" i="45" s="1"/>
  <c r="E64"/>
  <c r="J139" i="44"/>
  <c r="J61" i="45" s="1"/>
  <c r="E63"/>
  <c r="K87" i="44"/>
  <c r="K9" i="45" s="1"/>
  <c r="F73"/>
  <c r="J138" i="44"/>
  <c r="K139"/>
  <c r="K61" i="45" s="1"/>
  <c r="F63"/>
  <c r="E50"/>
  <c r="K85" i="44"/>
  <c r="K7" i="45" s="1"/>
  <c r="F72"/>
  <c r="F70"/>
  <c r="K138" i="44"/>
  <c r="F49" i="45"/>
  <c r="F50"/>
  <c r="J87" i="44"/>
  <c r="J9" i="45" s="1"/>
  <c r="E73"/>
  <c r="J85" i="44"/>
  <c r="J7" i="45" s="1"/>
  <c r="E72"/>
  <c r="J421" i="44"/>
  <c r="K421"/>
  <c r="J196"/>
  <c r="K196"/>
  <c r="K571"/>
  <c r="J571"/>
  <c r="O59" i="45" l="1"/>
  <c r="P59" s="1"/>
  <c r="L62"/>
  <c r="K43"/>
  <c r="L9"/>
  <c r="J43"/>
  <c r="E49"/>
  <c r="L7"/>
  <c r="L61"/>
  <c r="K60"/>
  <c r="J60"/>
  <c r="E70"/>
  <c r="O7" l="1"/>
  <c r="P7" s="1"/>
  <c r="O9"/>
  <c r="P9" s="1"/>
  <c r="O62"/>
  <c r="P62" s="1"/>
  <c r="O61"/>
  <c r="P61" s="1"/>
  <c r="L43"/>
  <c r="O43" s="1"/>
  <c r="L60"/>
  <c r="O60" l="1"/>
  <c r="P60" s="1"/>
  <c r="L2"/>
  <c r="P43"/>
  <c r="L3"/>
</calcChain>
</file>

<file path=xl/comments1.xml><?xml version="1.0" encoding="utf-8"?>
<comments xmlns="http://schemas.openxmlformats.org/spreadsheetml/2006/main">
  <authors>
    <author>Joe Pickin</author>
  </authors>
  <commentList>
    <comment ref="K70" authorId="0">
      <text>
        <r>
          <rPr>
            <b/>
            <sz val="9"/>
            <color indexed="81"/>
            <rFont val="Tahoma"/>
            <family val="2"/>
          </rPr>
          <t>Joe Pickin:</t>
        </r>
        <r>
          <rPr>
            <sz val="9"/>
            <color indexed="81"/>
            <rFont val="Tahoma"/>
            <family val="2"/>
          </rPr>
          <t xml:space="preserve">
Estimate of contaminated biosolids will be added</t>
        </r>
      </text>
    </comment>
    <comment ref="L70" authorId="0">
      <text>
        <r>
          <rPr>
            <b/>
            <sz val="9"/>
            <color indexed="81"/>
            <rFont val="Tahoma"/>
            <family val="2"/>
          </rPr>
          <t>Joe Pickin:</t>
        </r>
        <r>
          <rPr>
            <sz val="9"/>
            <color indexed="81"/>
            <rFont val="Tahoma"/>
            <family val="2"/>
          </rPr>
          <t xml:space="preserve">
Estimate of contaminated biosolids will be added</t>
        </r>
      </text>
    </comment>
  </commentList>
</comments>
</file>

<file path=xl/comments10.xml><?xml version="1.0" encoding="utf-8"?>
<comments xmlns="http://schemas.openxmlformats.org/spreadsheetml/2006/main">
  <authors>
    <author>Joe Pickin</author>
  </authors>
  <commentList>
    <comment ref="J57"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K57"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J58" authorId="0">
      <text>
        <r>
          <rPr>
            <b/>
            <sz val="9"/>
            <color indexed="81"/>
            <rFont val="Tahoma"/>
            <family val="2"/>
          </rPr>
          <t>Joe Pickin:</t>
        </r>
        <r>
          <rPr>
            <sz val="9"/>
            <color indexed="81"/>
            <rFont val="Tahoma"/>
            <family val="2"/>
          </rPr>
          <t xml:space="preserve">
Negligible incineration of household wastes occurs in Australia</t>
        </r>
      </text>
    </comment>
    <comment ref="K58" authorId="0">
      <text>
        <r>
          <rPr>
            <b/>
            <sz val="9"/>
            <color indexed="81"/>
            <rFont val="Tahoma"/>
            <family val="2"/>
          </rPr>
          <t>Joe Pickin:</t>
        </r>
        <r>
          <rPr>
            <sz val="9"/>
            <color indexed="81"/>
            <rFont val="Tahoma"/>
            <family val="2"/>
          </rPr>
          <t xml:space="preserve">
Negligible incineration of household wastes occurs in Australia</t>
        </r>
      </text>
    </comment>
    <comment ref="E72" authorId="0">
      <text>
        <r>
          <rPr>
            <b/>
            <sz val="9"/>
            <color indexed="81"/>
            <rFont val="Tahoma"/>
            <family val="2"/>
          </rPr>
          <t>Joe Pickin:</t>
        </r>
        <r>
          <rPr>
            <sz val="9"/>
            <color indexed="81"/>
            <rFont val="Tahoma"/>
            <family val="2"/>
          </rPr>
          <t xml:space="preserve">
Added to jurisdiction data: estimate of biosolids. See 'Gap data 2'.</t>
        </r>
      </text>
    </comment>
    <comment ref="F72" authorId="0">
      <text>
        <r>
          <rPr>
            <b/>
            <sz val="9"/>
            <color indexed="81"/>
            <rFont val="Tahoma"/>
            <family val="2"/>
          </rPr>
          <t>Joe Pickin:</t>
        </r>
        <r>
          <rPr>
            <sz val="9"/>
            <color indexed="81"/>
            <rFont val="Tahoma"/>
            <family val="2"/>
          </rPr>
          <t xml:space="preserve">
Added to jurisdiction data: estimate of biosolids. See 'Gap data 2'.</t>
        </r>
      </text>
    </comment>
    <comment ref="E80" authorId="0">
      <text>
        <r>
          <rPr>
            <b/>
            <sz val="9"/>
            <color indexed="81"/>
            <rFont val="Tahoma"/>
            <family val="2"/>
          </rPr>
          <t>Joe Pickin:</t>
        </r>
        <r>
          <rPr>
            <sz val="9"/>
            <color indexed="81"/>
            <rFont val="Tahoma"/>
            <family val="2"/>
          </rPr>
          <t xml:space="preserve">
See 'Gap data' for source.</t>
        </r>
      </text>
    </comment>
    <comment ref="F80" authorId="0">
      <text>
        <r>
          <rPr>
            <b/>
            <sz val="9"/>
            <color indexed="81"/>
            <rFont val="Tahoma"/>
            <family val="2"/>
          </rPr>
          <t>Joe Pickin:</t>
        </r>
        <r>
          <rPr>
            <sz val="9"/>
            <color indexed="81"/>
            <rFont val="Tahoma"/>
            <family val="2"/>
          </rPr>
          <t xml:space="preserve">
See 'Gap data' for source.</t>
        </r>
      </text>
    </comment>
    <comment ref="E127"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F127"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E128"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F128"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J132"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K132"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J133" authorId="0">
      <text>
        <r>
          <rPr>
            <b/>
            <sz val="9"/>
            <color indexed="81"/>
            <rFont val="Tahoma"/>
            <family val="2"/>
          </rPr>
          <t>Joe Pickin:</t>
        </r>
        <r>
          <rPr>
            <sz val="9"/>
            <color indexed="81"/>
            <rFont val="Tahoma"/>
            <family val="2"/>
          </rPr>
          <t xml:space="preserve">
Negligible incineration of household wastes occurs in Australia</t>
        </r>
      </text>
    </comment>
    <comment ref="K133" authorId="0">
      <text>
        <r>
          <rPr>
            <b/>
            <sz val="9"/>
            <color indexed="81"/>
            <rFont val="Tahoma"/>
            <family val="2"/>
          </rPr>
          <t>Joe Pickin:</t>
        </r>
        <r>
          <rPr>
            <sz val="9"/>
            <color indexed="81"/>
            <rFont val="Tahoma"/>
            <family val="2"/>
          </rPr>
          <t xml:space="preserve">
Negligible incineration of household wastes occurs in Australia</t>
        </r>
      </text>
    </comment>
    <comment ref="E142" authorId="0">
      <text>
        <r>
          <rPr>
            <b/>
            <sz val="9"/>
            <color indexed="81"/>
            <rFont val="Tahoma"/>
            <family val="2"/>
          </rPr>
          <t>Joe Pickin:</t>
        </r>
        <r>
          <rPr>
            <sz val="9"/>
            <color indexed="81"/>
            <rFont val="Tahoma"/>
            <family val="2"/>
          </rPr>
          <t xml:space="preserve">
No multiple count adjustment because data is not from tracking systems</t>
        </r>
      </text>
    </comment>
    <comment ref="F142" authorId="0">
      <text>
        <r>
          <rPr>
            <b/>
            <sz val="9"/>
            <color indexed="81"/>
            <rFont val="Tahoma"/>
            <family val="2"/>
          </rPr>
          <t>Joe Pickin:</t>
        </r>
        <r>
          <rPr>
            <sz val="9"/>
            <color indexed="81"/>
            <rFont val="Tahoma"/>
            <family val="2"/>
          </rPr>
          <t xml:space="preserve">
No multiple count adjustment because data is not from tracking systems</t>
        </r>
      </text>
    </comment>
    <comment ref="E147" authorId="0">
      <text>
        <r>
          <rPr>
            <b/>
            <sz val="9"/>
            <color indexed="81"/>
            <rFont val="Tahoma"/>
            <family val="2"/>
          </rPr>
          <t>Joe Pickin:</t>
        </r>
        <r>
          <rPr>
            <sz val="9"/>
            <color indexed="81"/>
            <rFont val="Tahoma"/>
            <family val="2"/>
          </rPr>
          <t xml:space="preserve">
Added to jurisdiction data: estimate of biosolids. See 'Gap data'.</t>
        </r>
      </text>
    </comment>
    <comment ref="F147" authorId="0">
      <text>
        <r>
          <rPr>
            <b/>
            <sz val="9"/>
            <color indexed="81"/>
            <rFont val="Tahoma"/>
            <family val="2"/>
          </rPr>
          <t>Joe Pickin:</t>
        </r>
        <r>
          <rPr>
            <sz val="9"/>
            <color indexed="81"/>
            <rFont val="Tahoma"/>
            <family val="2"/>
          </rPr>
          <t xml:space="preserve">
Added to jurisdiction data: estimate of biosolids. See 'Gap data'.</t>
        </r>
      </text>
    </comment>
    <comment ref="E148" authorId="0">
      <text>
        <r>
          <rPr>
            <b/>
            <sz val="9"/>
            <color indexed="81"/>
            <rFont val="Tahoma"/>
            <family val="2"/>
          </rPr>
          <t>Joe Pickin:</t>
        </r>
        <r>
          <rPr>
            <sz val="9"/>
            <color indexed="81"/>
            <rFont val="Tahoma"/>
            <family val="2"/>
          </rPr>
          <t xml:space="preserve">
No multiple count adjustment because data is not from tracking systems</t>
        </r>
      </text>
    </comment>
    <comment ref="F148" authorId="0">
      <text>
        <r>
          <rPr>
            <b/>
            <sz val="9"/>
            <color indexed="81"/>
            <rFont val="Tahoma"/>
            <family val="2"/>
          </rPr>
          <t>Joe Pickin:</t>
        </r>
        <r>
          <rPr>
            <sz val="9"/>
            <color indexed="81"/>
            <rFont val="Tahoma"/>
            <family val="2"/>
          </rPr>
          <t xml:space="preserve">
No multiple count adjustment because data is not from tracking systems</t>
        </r>
      </text>
    </comment>
    <comment ref="E150"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F150"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E151"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F151"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E155" authorId="0">
      <text>
        <r>
          <rPr>
            <b/>
            <sz val="9"/>
            <color indexed="81"/>
            <rFont val="Tahoma"/>
            <family val="2"/>
          </rPr>
          <t>Joe Pickin:</t>
        </r>
        <r>
          <rPr>
            <sz val="9"/>
            <color indexed="81"/>
            <rFont val="Tahoma"/>
            <family val="2"/>
          </rPr>
          <t xml:space="preserve">
See 'Gap data' for source.</t>
        </r>
      </text>
    </comment>
    <comment ref="F155" authorId="0">
      <text>
        <r>
          <rPr>
            <b/>
            <sz val="9"/>
            <color indexed="81"/>
            <rFont val="Tahoma"/>
            <family val="2"/>
          </rPr>
          <t>Joe Pickin:</t>
        </r>
        <r>
          <rPr>
            <sz val="9"/>
            <color indexed="81"/>
            <rFont val="Tahoma"/>
            <family val="2"/>
          </rPr>
          <t xml:space="preserve">
See 'Gap data' for source.</t>
        </r>
      </text>
    </comment>
    <comment ref="E202"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F202"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E203"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F203"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J207"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K207"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J208" authorId="0">
      <text>
        <r>
          <rPr>
            <b/>
            <sz val="9"/>
            <color indexed="81"/>
            <rFont val="Tahoma"/>
            <family val="2"/>
          </rPr>
          <t>Joe Pickin:</t>
        </r>
        <r>
          <rPr>
            <sz val="9"/>
            <color indexed="81"/>
            <rFont val="Tahoma"/>
            <family val="2"/>
          </rPr>
          <t xml:space="preserve">
Negligible incineration of household wastes occurs in Australia</t>
        </r>
      </text>
    </comment>
    <comment ref="K208" authorId="0">
      <text>
        <r>
          <rPr>
            <b/>
            <sz val="9"/>
            <color indexed="81"/>
            <rFont val="Tahoma"/>
            <family val="2"/>
          </rPr>
          <t>Joe Pickin:</t>
        </r>
        <r>
          <rPr>
            <sz val="9"/>
            <color indexed="81"/>
            <rFont val="Tahoma"/>
            <family val="2"/>
          </rPr>
          <t xml:space="preserve">
Negligible incineration of household wastes occurs in Australia</t>
        </r>
      </text>
    </comment>
    <comment ref="E217"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F217"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E222" authorId="0">
      <text>
        <r>
          <rPr>
            <b/>
            <sz val="9"/>
            <color indexed="81"/>
            <rFont val="Tahoma"/>
            <family val="2"/>
          </rPr>
          <t>Joe Pickin:</t>
        </r>
        <r>
          <rPr>
            <sz val="9"/>
            <color indexed="81"/>
            <rFont val="Tahoma"/>
            <family val="2"/>
          </rPr>
          <t xml:space="preserve">
Added to jurisdiction data: estimate of biosolids. See 'Gap data'.</t>
        </r>
      </text>
    </comment>
    <comment ref="F222" authorId="0">
      <text>
        <r>
          <rPr>
            <b/>
            <sz val="9"/>
            <color indexed="81"/>
            <rFont val="Tahoma"/>
            <family val="2"/>
          </rPr>
          <t>Joe Pickin:</t>
        </r>
        <r>
          <rPr>
            <sz val="9"/>
            <color indexed="81"/>
            <rFont val="Tahoma"/>
            <family val="2"/>
          </rPr>
          <t xml:space="preserve">
Added to jurisdiction data: estimate of biosolids. See 'Gap data'.</t>
        </r>
      </text>
    </comment>
    <comment ref="E223"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F223"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E230" authorId="0">
      <text>
        <r>
          <rPr>
            <b/>
            <sz val="9"/>
            <color indexed="81"/>
            <rFont val="Tahoma"/>
            <family val="2"/>
          </rPr>
          <t>Joe Pickin:</t>
        </r>
        <r>
          <rPr>
            <sz val="9"/>
            <color indexed="81"/>
            <rFont val="Tahoma"/>
            <family val="2"/>
          </rPr>
          <t xml:space="preserve">
See 'Gap data' for source.</t>
        </r>
      </text>
    </comment>
    <comment ref="F230" authorId="0">
      <text>
        <r>
          <rPr>
            <b/>
            <sz val="9"/>
            <color indexed="81"/>
            <rFont val="Tahoma"/>
            <family val="2"/>
          </rPr>
          <t>Joe Pickin:</t>
        </r>
        <r>
          <rPr>
            <sz val="9"/>
            <color indexed="81"/>
            <rFont val="Tahoma"/>
            <family val="2"/>
          </rPr>
          <t xml:space="preserve">
See 'Gap data' for source.</t>
        </r>
      </text>
    </comment>
    <comment ref="J282"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K282"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J283" authorId="0">
      <text>
        <r>
          <rPr>
            <b/>
            <sz val="9"/>
            <color indexed="81"/>
            <rFont val="Tahoma"/>
            <family val="2"/>
          </rPr>
          <t>Joe Pickin:</t>
        </r>
        <r>
          <rPr>
            <sz val="9"/>
            <color indexed="81"/>
            <rFont val="Tahoma"/>
            <family val="2"/>
          </rPr>
          <t xml:space="preserve">
Negligible incineration of household wastes occurs in Australia</t>
        </r>
      </text>
    </comment>
    <comment ref="K283" authorId="0">
      <text>
        <r>
          <rPr>
            <b/>
            <sz val="9"/>
            <color indexed="81"/>
            <rFont val="Tahoma"/>
            <family val="2"/>
          </rPr>
          <t>Joe Pickin:</t>
        </r>
        <r>
          <rPr>
            <sz val="9"/>
            <color indexed="81"/>
            <rFont val="Tahoma"/>
            <family val="2"/>
          </rPr>
          <t xml:space="preserve">
Negligible incineration of household wastes occurs in Australia</t>
        </r>
      </text>
    </comment>
    <comment ref="E297" authorId="0">
      <text>
        <r>
          <rPr>
            <b/>
            <sz val="9"/>
            <color indexed="81"/>
            <rFont val="Tahoma"/>
            <family val="2"/>
          </rPr>
          <t>Joe Pickin:</t>
        </r>
        <r>
          <rPr>
            <sz val="9"/>
            <color indexed="81"/>
            <rFont val="Tahoma"/>
            <family val="2"/>
          </rPr>
          <t xml:space="preserve">
Added to jurisdiction data: estimate of biosolids. See 'Gap data'.</t>
        </r>
      </text>
    </comment>
    <comment ref="F297" authorId="0">
      <text>
        <r>
          <rPr>
            <b/>
            <sz val="9"/>
            <color indexed="81"/>
            <rFont val="Tahoma"/>
            <family val="2"/>
          </rPr>
          <t>Joe Pickin:</t>
        </r>
        <r>
          <rPr>
            <sz val="9"/>
            <color indexed="81"/>
            <rFont val="Tahoma"/>
            <family val="2"/>
          </rPr>
          <t xml:space="preserve">
Added to jurisdiction data: estimate of biosolids. See 'Gap data'.</t>
        </r>
      </text>
    </comment>
    <comment ref="E305" authorId="0">
      <text>
        <r>
          <rPr>
            <b/>
            <sz val="9"/>
            <color indexed="81"/>
            <rFont val="Tahoma"/>
            <family val="2"/>
          </rPr>
          <t>Joe Pickin:</t>
        </r>
        <r>
          <rPr>
            <sz val="9"/>
            <color indexed="81"/>
            <rFont val="Tahoma"/>
            <family val="2"/>
          </rPr>
          <t xml:space="preserve">
See 'Gap data' for source.</t>
        </r>
      </text>
    </comment>
    <comment ref="F305" authorId="0">
      <text>
        <r>
          <rPr>
            <b/>
            <sz val="9"/>
            <color indexed="81"/>
            <rFont val="Tahoma"/>
            <family val="2"/>
          </rPr>
          <t>Joe Pickin:</t>
        </r>
        <r>
          <rPr>
            <sz val="9"/>
            <color indexed="81"/>
            <rFont val="Tahoma"/>
            <family val="2"/>
          </rPr>
          <t xml:space="preserve">
See 'Gap data' for source.</t>
        </r>
      </text>
    </comment>
    <comment ref="E352"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F352"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E353"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F353"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J357"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K357"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J358" authorId="0">
      <text>
        <r>
          <rPr>
            <b/>
            <sz val="9"/>
            <color indexed="81"/>
            <rFont val="Tahoma"/>
            <family val="2"/>
          </rPr>
          <t>Joe Pickin:</t>
        </r>
        <r>
          <rPr>
            <sz val="9"/>
            <color indexed="81"/>
            <rFont val="Tahoma"/>
            <family val="2"/>
          </rPr>
          <t xml:space="preserve">
Negligible incineration of household wastes occurs in Australia</t>
        </r>
      </text>
    </comment>
    <comment ref="K358" authorId="0">
      <text>
        <r>
          <rPr>
            <b/>
            <sz val="9"/>
            <color indexed="81"/>
            <rFont val="Tahoma"/>
            <family val="2"/>
          </rPr>
          <t>Joe Pickin:</t>
        </r>
        <r>
          <rPr>
            <sz val="9"/>
            <color indexed="81"/>
            <rFont val="Tahoma"/>
            <family val="2"/>
          </rPr>
          <t xml:space="preserve">
Negligible incineration of household wastes occurs in Australia</t>
        </r>
      </text>
    </comment>
    <comment ref="E372" authorId="0">
      <text>
        <r>
          <rPr>
            <b/>
            <sz val="9"/>
            <color indexed="81"/>
            <rFont val="Tahoma"/>
            <family val="2"/>
          </rPr>
          <t>Joe Pickin:</t>
        </r>
        <r>
          <rPr>
            <sz val="9"/>
            <color indexed="81"/>
            <rFont val="Tahoma"/>
            <family val="2"/>
          </rPr>
          <t xml:space="preserve">
Added to jurisdiction data: estimate of biosolids. See 'Gap data'.</t>
        </r>
      </text>
    </comment>
    <comment ref="F372" authorId="0">
      <text>
        <r>
          <rPr>
            <b/>
            <sz val="9"/>
            <color indexed="81"/>
            <rFont val="Tahoma"/>
            <family val="2"/>
          </rPr>
          <t>Joe Pickin:</t>
        </r>
        <r>
          <rPr>
            <sz val="9"/>
            <color indexed="81"/>
            <rFont val="Tahoma"/>
            <family val="2"/>
          </rPr>
          <t xml:space="preserve">
Added to jurisdiction data: estimate of biosolids. See 'Gap data'.</t>
        </r>
      </text>
    </comment>
    <comment ref="E380" authorId="0">
      <text>
        <r>
          <rPr>
            <b/>
            <sz val="9"/>
            <color indexed="81"/>
            <rFont val="Tahoma"/>
            <family val="2"/>
          </rPr>
          <t>Joe Pickin:</t>
        </r>
        <r>
          <rPr>
            <sz val="9"/>
            <color indexed="81"/>
            <rFont val="Tahoma"/>
            <family val="2"/>
          </rPr>
          <t xml:space="preserve">
See 'Gap data' for source.</t>
        </r>
      </text>
    </comment>
    <comment ref="F380" authorId="0">
      <text>
        <r>
          <rPr>
            <b/>
            <sz val="9"/>
            <color indexed="81"/>
            <rFont val="Tahoma"/>
            <family val="2"/>
          </rPr>
          <t>Joe Pickin:</t>
        </r>
        <r>
          <rPr>
            <sz val="9"/>
            <color indexed="81"/>
            <rFont val="Tahoma"/>
            <family val="2"/>
          </rPr>
          <t xml:space="preserve">
See 'Gap data' for source.</t>
        </r>
      </text>
    </comment>
    <comment ref="F427"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F428"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J432"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K432"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J433" authorId="0">
      <text>
        <r>
          <rPr>
            <b/>
            <sz val="9"/>
            <color indexed="81"/>
            <rFont val="Tahoma"/>
            <family val="2"/>
          </rPr>
          <t>Joe Pickin:</t>
        </r>
        <r>
          <rPr>
            <sz val="9"/>
            <color indexed="81"/>
            <rFont val="Tahoma"/>
            <family val="2"/>
          </rPr>
          <t xml:space="preserve">
Negligible incineration of household wastes occurs in Australia</t>
        </r>
      </text>
    </comment>
    <comment ref="K433" authorId="0">
      <text>
        <r>
          <rPr>
            <b/>
            <sz val="9"/>
            <color indexed="81"/>
            <rFont val="Tahoma"/>
            <family val="2"/>
          </rPr>
          <t>Joe Pickin:</t>
        </r>
        <r>
          <rPr>
            <sz val="9"/>
            <color indexed="81"/>
            <rFont val="Tahoma"/>
            <family val="2"/>
          </rPr>
          <t xml:space="preserve">
Negligible incineration of household wastes occurs in Australia</t>
        </r>
      </text>
    </comment>
    <comment ref="E447" authorId="0">
      <text>
        <r>
          <rPr>
            <b/>
            <sz val="9"/>
            <color indexed="81"/>
            <rFont val="Tahoma"/>
            <family val="2"/>
          </rPr>
          <t>Joe Pickin:</t>
        </r>
        <r>
          <rPr>
            <sz val="9"/>
            <color indexed="81"/>
            <rFont val="Tahoma"/>
            <family val="2"/>
          </rPr>
          <t xml:space="preserve">
Added to jurisdiction data: estimate of biosolids. See 'Gap data'.</t>
        </r>
      </text>
    </comment>
    <comment ref="F447" authorId="0">
      <text>
        <r>
          <rPr>
            <b/>
            <sz val="9"/>
            <color indexed="81"/>
            <rFont val="Tahoma"/>
            <family val="2"/>
          </rPr>
          <t>Joe Pickin:</t>
        </r>
        <r>
          <rPr>
            <sz val="9"/>
            <color indexed="81"/>
            <rFont val="Tahoma"/>
            <family val="2"/>
          </rPr>
          <t xml:space="preserve">
Added to jurisdiction data: estimate of biosolids. See 'Gap data'.</t>
        </r>
      </text>
    </comment>
    <comment ref="E448"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F448"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E455" authorId="0">
      <text>
        <r>
          <rPr>
            <b/>
            <sz val="9"/>
            <color indexed="81"/>
            <rFont val="Tahoma"/>
            <family val="2"/>
          </rPr>
          <t>Joe Pickin:</t>
        </r>
        <r>
          <rPr>
            <sz val="9"/>
            <color indexed="81"/>
            <rFont val="Tahoma"/>
            <family val="2"/>
          </rPr>
          <t xml:space="preserve">
See 'Gap data' for source.</t>
        </r>
      </text>
    </comment>
    <comment ref="F455" authorId="0">
      <text>
        <r>
          <rPr>
            <b/>
            <sz val="9"/>
            <color indexed="81"/>
            <rFont val="Tahoma"/>
            <family val="2"/>
          </rPr>
          <t>Joe Pickin:</t>
        </r>
        <r>
          <rPr>
            <sz val="9"/>
            <color indexed="81"/>
            <rFont val="Tahoma"/>
            <family val="2"/>
          </rPr>
          <t xml:space="preserve">
See 'Gap data' for source.</t>
        </r>
      </text>
    </comment>
    <comment ref="J507"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K507"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J508" authorId="0">
      <text>
        <r>
          <rPr>
            <b/>
            <sz val="9"/>
            <color indexed="81"/>
            <rFont val="Tahoma"/>
            <family val="2"/>
          </rPr>
          <t>Joe Pickin:</t>
        </r>
        <r>
          <rPr>
            <sz val="9"/>
            <color indexed="81"/>
            <rFont val="Tahoma"/>
            <family val="2"/>
          </rPr>
          <t xml:space="preserve">
Negligible incineration of household wastes occurs in Australia</t>
        </r>
      </text>
    </comment>
    <comment ref="K508" authorId="0">
      <text>
        <r>
          <rPr>
            <b/>
            <sz val="9"/>
            <color indexed="81"/>
            <rFont val="Tahoma"/>
            <family val="2"/>
          </rPr>
          <t>Joe Pickin:</t>
        </r>
        <r>
          <rPr>
            <sz val="9"/>
            <color indexed="81"/>
            <rFont val="Tahoma"/>
            <family val="2"/>
          </rPr>
          <t xml:space="preserve">
Negligible incineration of household wastes occurs in Australia</t>
        </r>
      </text>
    </comment>
    <comment ref="E522" authorId="0">
      <text>
        <r>
          <rPr>
            <b/>
            <sz val="9"/>
            <color indexed="81"/>
            <rFont val="Tahoma"/>
            <family val="2"/>
          </rPr>
          <t>Joe Pickin:</t>
        </r>
        <r>
          <rPr>
            <sz val="9"/>
            <color indexed="81"/>
            <rFont val="Tahoma"/>
            <family val="2"/>
          </rPr>
          <t xml:space="preserve">
Added to jurisdiction data: estimate of biosolids. See 'Gap data'.</t>
        </r>
      </text>
    </comment>
    <comment ref="F522" authorId="0">
      <text>
        <r>
          <rPr>
            <b/>
            <sz val="9"/>
            <color indexed="81"/>
            <rFont val="Tahoma"/>
            <family val="2"/>
          </rPr>
          <t>Joe Pickin:</t>
        </r>
        <r>
          <rPr>
            <sz val="9"/>
            <color indexed="81"/>
            <rFont val="Tahoma"/>
            <family val="2"/>
          </rPr>
          <t xml:space="preserve">
Added to jurisdiction data: estimate of biosolids. See 'Gap data'.</t>
        </r>
      </text>
    </comment>
    <comment ref="E530" authorId="0">
      <text>
        <r>
          <rPr>
            <b/>
            <sz val="9"/>
            <color indexed="81"/>
            <rFont val="Tahoma"/>
            <family val="2"/>
          </rPr>
          <t>Joe Pickin:</t>
        </r>
        <r>
          <rPr>
            <sz val="9"/>
            <color indexed="81"/>
            <rFont val="Tahoma"/>
            <family val="2"/>
          </rPr>
          <t xml:space="preserve">
See 'Gap data' for source.</t>
        </r>
      </text>
    </comment>
    <comment ref="F530" authorId="0">
      <text>
        <r>
          <rPr>
            <b/>
            <sz val="9"/>
            <color indexed="81"/>
            <rFont val="Tahoma"/>
            <family val="2"/>
          </rPr>
          <t>Joe Pickin:</t>
        </r>
        <r>
          <rPr>
            <sz val="9"/>
            <color indexed="81"/>
            <rFont val="Tahoma"/>
            <family val="2"/>
          </rPr>
          <t xml:space="preserve">
See 'Gap data' for source.</t>
        </r>
      </text>
    </comment>
    <comment ref="J582"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K582"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J583" authorId="0">
      <text>
        <r>
          <rPr>
            <b/>
            <sz val="9"/>
            <color indexed="81"/>
            <rFont val="Tahoma"/>
            <family val="2"/>
          </rPr>
          <t>Joe Pickin:</t>
        </r>
        <r>
          <rPr>
            <sz val="9"/>
            <color indexed="81"/>
            <rFont val="Tahoma"/>
            <family val="2"/>
          </rPr>
          <t xml:space="preserve">
Negligible incineration of household wastes occurs in Australia</t>
        </r>
      </text>
    </comment>
    <comment ref="K583" authorId="0">
      <text>
        <r>
          <rPr>
            <b/>
            <sz val="9"/>
            <color indexed="81"/>
            <rFont val="Tahoma"/>
            <family val="2"/>
          </rPr>
          <t>Joe Pickin:</t>
        </r>
        <r>
          <rPr>
            <sz val="9"/>
            <color indexed="81"/>
            <rFont val="Tahoma"/>
            <family val="2"/>
          </rPr>
          <t xml:space="preserve">
Negligible incineration of household wastes occurs in Australia</t>
        </r>
      </text>
    </comment>
    <comment ref="E588"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F588"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E597" authorId="0">
      <text>
        <r>
          <rPr>
            <b/>
            <sz val="9"/>
            <color indexed="81"/>
            <rFont val="Tahoma"/>
            <family val="2"/>
          </rPr>
          <t>Joe Pickin:</t>
        </r>
        <r>
          <rPr>
            <sz val="9"/>
            <color indexed="81"/>
            <rFont val="Tahoma"/>
            <family val="2"/>
          </rPr>
          <t xml:space="preserve">
Added to jurisdiction data: estimate of biosolids. See 'Gap data'.</t>
        </r>
      </text>
    </comment>
    <comment ref="F597" authorId="0">
      <text>
        <r>
          <rPr>
            <b/>
            <sz val="9"/>
            <color indexed="81"/>
            <rFont val="Tahoma"/>
            <family val="2"/>
          </rPr>
          <t>Joe Pickin:</t>
        </r>
        <r>
          <rPr>
            <sz val="9"/>
            <color indexed="81"/>
            <rFont val="Tahoma"/>
            <family val="2"/>
          </rPr>
          <t xml:space="preserve">
Added to jurisdiction data: estimate of biosolids. See 'Gap data'.</t>
        </r>
      </text>
    </comment>
    <comment ref="E598"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F598" authorId="0">
      <text>
        <r>
          <rPr>
            <b/>
            <sz val="9"/>
            <color indexed="81"/>
            <rFont val="Tahoma"/>
            <family val="2"/>
          </rPr>
          <t>Joe Pickin:</t>
        </r>
        <r>
          <rPr>
            <sz val="9"/>
            <color indexed="81"/>
            <rFont val="Tahoma"/>
            <family val="2"/>
          </rPr>
          <t xml:space="preserve">
Australian average per capita per six monthly period mulitplied by jurisdiction population</t>
        </r>
      </text>
    </comment>
    <comment ref="E605" authorId="0">
      <text>
        <r>
          <rPr>
            <b/>
            <sz val="9"/>
            <color indexed="81"/>
            <rFont val="Tahoma"/>
            <family val="2"/>
          </rPr>
          <t>Joe Pickin:</t>
        </r>
        <r>
          <rPr>
            <sz val="9"/>
            <color indexed="81"/>
            <rFont val="Tahoma"/>
            <family val="2"/>
          </rPr>
          <t xml:space="preserve">
See 'Gap data' for source</t>
        </r>
      </text>
    </comment>
    <comment ref="F605" authorId="0">
      <text>
        <r>
          <rPr>
            <b/>
            <sz val="9"/>
            <color indexed="81"/>
            <rFont val="Tahoma"/>
            <family val="2"/>
          </rPr>
          <t>Joe Pickin:</t>
        </r>
        <r>
          <rPr>
            <sz val="9"/>
            <color indexed="81"/>
            <rFont val="Tahoma"/>
            <family val="2"/>
          </rPr>
          <t xml:space="preserve">
See 'Gap data' for source</t>
        </r>
      </text>
    </comment>
  </commentList>
</comments>
</file>

<file path=xl/comments11.xml><?xml version="1.0" encoding="utf-8"?>
<comments xmlns="http://schemas.openxmlformats.org/spreadsheetml/2006/main">
  <authors>
    <author>Joe Pickin</author>
  </authors>
  <commentList>
    <comment ref="O6" authorId="0">
      <text>
        <r>
          <rPr>
            <b/>
            <sz val="9"/>
            <color indexed="81"/>
            <rFont val="Tahoma"/>
            <family val="2"/>
          </rPr>
          <t>Joe Pickin:</t>
        </r>
        <r>
          <rPr>
            <sz val="9"/>
            <color indexed="81"/>
            <rFont val="Tahoma"/>
            <family val="2"/>
          </rPr>
          <t xml:space="preserve">
Either growth or decline</t>
        </r>
      </text>
    </comment>
  </commentList>
</comments>
</file>

<file path=xl/comments2.xml><?xml version="1.0" encoding="utf-8"?>
<comments xmlns="http://schemas.openxmlformats.org/spreadsheetml/2006/main">
  <authors>
    <author>Joe Pickin</author>
  </authors>
  <commentList>
    <comment ref="B3" authorId="0">
      <text>
        <r>
          <rPr>
            <b/>
            <sz val="9"/>
            <color indexed="81"/>
            <rFont val="Tahoma"/>
            <family val="2"/>
          </rPr>
          <t>Joe Pickin:</t>
        </r>
        <r>
          <rPr>
            <sz val="9"/>
            <color indexed="81"/>
            <rFont val="Tahoma"/>
            <family val="2"/>
          </rPr>
          <t xml:space="preserve">
See Section 3.4 of </t>
        </r>
        <r>
          <rPr>
            <i/>
            <sz val="9"/>
            <color indexed="81"/>
            <rFont val="Tahoma"/>
            <family val="2"/>
          </rPr>
          <t>Reporting hazardous waste under the Basel Convention - guidance to states, territories and the Commonwealth (2014 data)</t>
        </r>
      </text>
    </comment>
    <comment ref="K70" authorId="0">
      <text>
        <r>
          <rPr>
            <b/>
            <sz val="9"/>
            <color indexed="81"/>
            <rFont val="Tahoma"/>
            <family val="2"/>
          </rPr>
          <t>Joe Pickin:</t>
        </r>
        <r>
          <rPr>
            <sz val="9"/>
            <color indexed="81"/>
            <rFont val="Tahoma"/>
            <family val="2"/>
          </rPr>
          <t xml:space="preserve">
Estimate of contaminated biosolids will be added</t>
        </r>
      </text>
    </comment>
    <comment ref="L70" authorId="0">
      <text>
        <r>
          <rPr>
            <b/>
            <sz val="9"/>
            <color indexed="81"/>
            <rFont val="Tahoma"/>
            <family val="2"/>
          </rPr>
          <t>Joe Pickin:</t>
        </r>
        <r>
          <rPr>
            <sz val="9"/>
            <color indexed="81"/>
            <rFont val="Tahoma"/>
            <family val="2"/>
          </rPr>
          <t xml:space="preserve">
Estimate of contaminated biosolids will be added</t>
        </r>
      </text>
    </comment>
  </commentList>
</comments>
</file>

<file path=xl/comments3.xml><?xml version="1.0" encoding="utf-8"?>
<comments xmlns="http://schemas.openxmlformats.org/spreadsheetml/2006/main">
  <authors>
    <author>Joe Pickin</author>
  </authors>
  <commentList>
    <comment ref="K70" authorId="0">
      <text>
        <r>
          <rPr>
            <b/>
            <sz val="9"/>
            <color indexed="81"/>
            <rFont val="Tahoma"/>
            <family val="2"/>
          </rPr>
          <t>Joe Pickin:</t>
        </r>
        <r>
          <rPr>
            <sz val="9"/>
            <color indexed="81"/>
            <rFont val="Tahoma"/>
            <family val="2"/>
          </rPr>
          <t xml:space="preserve">
Estimate of contaminated biosolids will be added</t>
        </r>
      </text>
    </comment>
    <comment ref="L70" authorId="0">
      <text>
        <r>
          <rPr>
            <b/>
            <sz val="9"/>
            <color indexed="81"/>
            <rFont val="Tahoma"/>
            <family val="2"/>
          </rPr>
          <t>Joe Pickin:</t>
        </r>
        <r>
          <rPr>
            <sz val="9"/>
            <color indexed="81"/>
            <rFont val="Tahoma"/>
            <family val="2"/>
          </rPr>
          <t xml:space="preserve">
Estimate of contaminated biosolids will be added</t>
        </r>
      </text>
    </comment>
  </commentList>
</comments>
</file>

<file path=xl/comments4.xml><?xml version="1.0" encoding="utf-8"?>
<comments xmlns="http://schemas.openxmlformats.org/spreadsheetml/2006/main">
  <authors>
    <author>Joe Pickin</author>
  </authors>
  <commentList>
    <comment ref="B3" authorId="0">
      <text>
        <r>
          <rPr>
            <b/>
            <sz val="9"/>
            <color indexed="81"/>
            <rFont val="Tahoma"/>
            <family val="2"/>
          </rPr>
          <t>Joe Pickin:</t>
        </r>
        <r>
          <rPr>
            <sz val="9"/>
            <color indexed="81"/>
            <rFont val="Tahoma"/>
            <family val="2"/>
          </rPr>
          <t xml:space="preserve">
See Section 3.4 of </t>
        </r>
        <r>
          <rPr>
            <i/>
            <sz val="9"/>
            <color indexed="81"/>
            <rFont val="Tahoma"/>
            <family val="2"/>
          </rPr>
          <t>Reporting hazardous waste under the Basel Convention - guidance to states, territories and the Commonwealth (2014 data)</t>
        </r>
      </text>
    </comment>
    <comment ref="B37" authorId="0">
      <text>
        <r>
          <rPr>
            <b/>
            <sz val="9"/>
            <color indexed="81"/>
            <rFont val="Tahoma"/>
            <family val="2"/>
          </rPr>
          <t>Joe Pickin:</t>
        </r>
        <r>
          <rPr>
            <sz val="9"/>
            <color indexed="81"/>
            <rFont val="Tahoma"/>
            <family val="2"/>
          </rPr>
          <t xml:space="preserve">
Not listed as a regulated waste but tracking data provided. Waste description assumed, based on Victoria</t>
        </r>
      </text>
    </comment>
    <comment ref="D67" authorId="0">
      <text>
        <r>
          <rPr>
            <b/>
            <sz val="9"/>
            <color indexed="81"/>
            <rFont val="Tahoma"/>
            <family val="2"/>
          </rPr>
          <t>Joe Pickin:</t>
        </r>
        <r>
          <rPr>
            <sz val="9"/>
            <color indexed="81"/>
            <rFont val="Tahoma"/>
            <family val="2"/>
          </rPr>
          <t xml:space="preserve">
Consists of contaminated soil to landfill for this period, + half of contaminated soil recovered in 2013-14 (recovery data unavailable on a calendar year basis). Note that unlike last year, this data excludes acid sulphate soil.</t>
        </r>
      </text>
    </comment>
    <comment ref="E67" authorId="0">
      <text>
        <r>
          <rPr>
            <b/>
            <sz val="9"/>
            <color indexed="81"/>
            <rFont val="Tahoma"/>
            <family val="2"/>
          </rPr>
          <t>Joe Pickin:</t>
        </r>
        <r>
          <rPr>
            <sz val="9"/>
            <color indexed="81"/>
            <rFont val="Tahoma"/>
            <family val="2"/>
          </rPr>
          <t xml:space="preserve">
Consists of contaminated soil to landfill for this period, + half of contaminated soil recovered in 2013-14 (recovery data unavailable on a calendar year basis). Note that unlike last year, this data excludes acid sulphate soil.</t>
        </r>
      </text>
    </comment>
    <comment ref="K70" authorId="0">
      <text>
        <r>
          <rPr>
            <b/>
            <sz val="9"/>
            <color indexed="81"/>
            <rFont val="Tahoma"/>
            <family val="2"/>
          </rPr>
          <t>Joe Pickin:</t>
        </r>
        <r>
          <rPr>
            <sz val="9"/>
            <color indexed="81"/>
            <rFont val="Tahoma"/>
            <family val="2"/>
          </rPr>
          <t xml:space="preserve">
Estimate of contaminated biosolids will be added</t>
        </r>
      </text>
    </comment>
    <comment ref="L70" authorId="0">
      <text>
        <r>
          <rPr>
            <b/>
            <sz val="9"/>
            <color indexed="81"/>
            <rFont val="Tahoma"/>
            <family val="2"/>
          </rPr>
          <t>Joe Pickin:</t>
        </r>
        <r>
          <rPr>
            <sz val="9"/>
            <color indexed="81"/>
            <rFont val="Tahoma"/>
            <family val="2"/>
          </rPr>
          <t xml:space="preserve">
Estimate of contaminated biosolids will be added</t>
        </r>
      </text>
    </comment>
  </commentList>
</comments>
</file>

<file path=xl/comments5.xml><?xml version="1.0" encoding="utf-8"?>
<comments xmlns="http://schemas.openxmlformats.org/spreadsheetml/2006/main">
  <authors>
    <author>Joe Pickin</author>
  </authors>
  <commentList>
    <comment ref="B3" authorId="0">
      <text>
        <r>
          <rPr>
            <b/>
            <sz val="9"/>
            <color indexed="81"/>
            <rFont val="Tahoma"/>
            <family val="2"/>
          </rPr>
          <t>Joe Pickin:</t>
        </r>
        <r>
          <rPr>
            <sz val="9"/>
            <color indexed="81"/>
            <rFont val="Tahoma"/>
            <family val="2"/>
          </rPr>
          <t xml:space="preserve">
See Section 3.4 of </t>
        </r>
        <r>
          <rPr>
            <i/>
            <sz val="9"/>
            <color indexed="81"/>
            <rFont val="Tahoma"/>
            <family val="2"/>
          </rPr>
          <t>Reporting hazardous waste under the Basel Convention - guidance to states, territories and the Commonwealth (2014 data)</t>
        </r>
      </text>
    </comment>
    <comment ref="K70" authorId="0">
      <text>
        <r>
          <rPr>
            <b/>
            <sz val="9"/>
            <color indexed="81"/>
            <rFont val="Tahoma"/>
            <family val="2"/>
          </rPr>
          <t>Joe Pickin:</t>
        </r>
        <r>
          <rPr>
            <sz val="9"/>
            <color indexed="81"/>
            <rFont val="Tahoma"/>
            <family val="2"/>
          </rPr>
          <t xml:space="preserve">
Estimate of contaminated biosolids will be added</t>
        </r>
      </text>
    </comment>
    <comment ref="L70" authorId="0">
      <text>
        <r>
          <rPr>
            <b/>
            <sz val="9"/>
            <color indexed="81"/>
            <rFont val="Tahoma"/>
            <family val="2"/>
          </rPr>
          <t>Joe Pickin:</t>
        </r>
        <r>
          <rPr>
            <sz val="9"/>
            <color indexed="81"/>
            <rFont val="Tahoma"/>
            <family val="2"/>
          </rPr>
          <t xml:space="preserve">
Estimate of contaminated biosolids will be added</t>
        </r>
      </text>
    </comment>
  </commentList>
</comments>
</file>

<file path=xl/comments6.xml><?xml version="1.0" encoding="utf-8"?>
<comments xmlns="http://schemas.openxmlformats.org/spreadsheetml/2006/main">
  <authors>
    <author>Joe Pickin</author>
  </authors>
  <commentList>
    <comment ref="K70" authorId="0">
      <text>
        <r>
          <rPr>
            <b/>
            <sz val="9"/>
            <color indexed="81"/>
            <rFont val="Tahoma"/>
            <family val="2"/>
          </rPr>
          <t>Joe Pickin:</t>
        </r>
        <r>
          <rPr>
            <sz val="9"/>
            <color indexed="81"/>
            <rFont val="Tahoma"/>
            <family val="2"/>
          </rPr>
          <t xml:space="preserve">
Estimate of contaminated biosolids will be added</t>
        </r>
      </text>
    </comment>
    <comment ref="L70" authorId="0">
      <text>
        <r>
          <rPr>
            <b/>
            <sz val="9"/>
            <color indexed="81"/>
            <rFont val="Tahoma"/>
            <family val="2"/>
          </rPr>
          <t>Joe Pickin:</t>
        </r>
        <r>
          <rPr>
            <sz val="9"/>
            <color indexed="81"/>
            <rFont val="Tahoma"/>
            <family val="2"/>
          </rPr>
          <t xml:space="preserve">
Estimate of contaminated biosolids will be added</t>
        </r>
      </text>
    </comment>
  </commentList>
</comments>
</file>

<file path=xl/comments7.xml><?xml version="1.0" encoding="utf-8"?>
<comments xmlns="http://schemas.openxmlformats.org/spreadsheetml/2006/main">
  <authors>
    <author>Joe Pickin</author>
  </authors>
  <commentList>
    <comment ref="B3" authorId="0">
      <text>
        <r>
          <rPr>
            <b/>
            <sz val="9"/>
            <color indexed="81"/>
            <rFont val="Tahoma"/>
            <family val="2"/>
          </rPr>
          <t>Joe Pickin:</t>
        </r>
        <r>
          <rPr>
            <sz val="9"/>
            <color indexed="81"/>
            <rFont val="Tahoma"/>
            <family val="2"/>
          </rPr>
          <t xml:space="preserve">
See Section 3.4 of </t>
        </r>
        <r>
          <rPr>
            <i/>
            <sz val="9"/>
            <color indexed="81"/>
            <rFont val="Tahoma"/>
            <family val="2"/>
          </rPr>
          <t>Reporting hazardous waste under the Basel Convention - guidance to states, territories and the Commonwealth (2014 data)</t>
        </r>
      </text>
    </comment>
    <comment ref="K70" authorId="0">
      <text>
        <r>
          <rPr>
            <b/>
            <sz val="9"/>
            <color indexed="81"/>
            <rFont val="Tahoma"/>
            <family val="2"/>
          </rPr>
          <t>Joe Pickin:</t>
        </r>
        <r>
          <rPr>
            <sz val="9"/>
            <color indexed="81"/>
            <rFont val="Tahoma"/>
            <family val="2"/>
          </rPr>
          <t xml:space="preserve">
Estimate of contaminated biosolids will be added</t>
        </r>
      </text>
    </comment>
    <comment ref="L70" authorId="0">
      <text>
        <r>
          <rPr>
            <b/>
            <sz val="9"/>
            <color indexed="81"/>
            <rFont val="Tahoma"/>
            <family val="2"/>
          </rPr>
          <t>Joe Pickin:</t>
        </r>
        <r>
          <rPr>
            <sz val="9"/>
            <color indexed="81"/>
            <rFont val="Tahoma"/>
            <family val="2"/>
          </rPr>
          <t xml:space="preserve">
Estimate of contaminated biosolids will be added</t>
        </r>
      </text>
    </comment>
  </commentList>
</comments>
</file>

<file path=xl/comments8.xml><?xml version="1.0" encoding="utf-8"?>
<comments xmlns="http://schemas.openxmlformats.org/spreadsheetml/2006/main">
  <authors>
    <author>Joe Pickin</author>
  </authors>
  <commentList>
    <comment ref="D3" authorId="0">
      <text>
        <r>
          <rPr>
            <b/>
            <sz val="9"/>
            <color indexed="81"/>
            <rFont val="Tahoma"/>
            <family val="2"/>
          </rPr>
          <t>Joe Pickin:</t>
        </r>
        <r>
          <rPr>
            <sz val="9"/>
            <color indexed="81"/>
            <rFont val="Tahoma"/>
            <family val="2"/>
          </rPr>
          <t xml:space="preserve">
See Section 3.4 of </t>
        </r>
        <r>
          <rPr>
            <i/>
            <sz val="9"/>
            <color indexed="81"/>
            <rFont val="Tahoma"/>
            <family val="2"/>
          </rPr>
          <t>Reporting hazardous waste under the Basel Convention - guidance to states, territories and the Commonwealth (2014 data)</t>
        </r>
      </text>
    </comment>
    <comment ref="L70" authorId="0">
      <text>
        <r>
          <rPr>
            <b/>
            <sz val="9"/>
            <color indexed="81"/>
            <rFont val="Tahoma"/>
            <family val="2"/>
          </rPr>
          <t>Joe Pickin:</t>
        </r>
        <r>
          <rPr>
            <sz val="9"/>
            <color indexed="81"/>
            <rFont val="Tahoma"/>
            <family val="2"/>
          </rPr>
          <t xml:space="preserve">
Estimate of contaminated biosolids will be added</t>
        </r>
      </text>
    </comment>
    <comment ref="M70" authorId="0">
      <text>
        <r>
          <rPr>
            <b/>
            <sz val="9"/>
            <color indexed="81"/>
            <rFont val="Tahoma"/>
            <family val="2"/>
          </rPr>
          <t>Joe Pickin:</t>
        </r>
        <r>
          <rPr>
            <sz val="9"/>
            <color indexed="81"/>
            <rFont val="Tahoma"/>
            <family val="2"/>
          </rPr>
          <t xml:space="preserve">
Estimate of contaminated biosolids will be added</t>
        </r>
      </text>
    </comment>
  </commentList>
</comments>
</file>

<file path=xl/comments9.xml><?xml version="1.0" encoding="utf-8"?>
<comments xmlns="http://schemas.openxmlformats.org/spreadsheetml/2006/main">
  <authors>
    <author>Joe Pickin</author>
  </authors>
  <commentList>
    <comment ref="A20" authorId="0">
      <text>
        <r>
          <rPr>
            <b/>
            <sz val="9"/>
            <color indexed="81"/>
            <rFont val="Tahoma"/>
            <family val="2"/>
          </rPr>
          <t>Joe Pickin:</t>
        </r>
        <r>
          <rPr>
            <sz val="9"/>
            <color indexed="81"/>
            <rFont val="Tahoma"/>
            <family val="2"/>
          </rPr>
          <t xml:space="preserve">
Comprises MSW from street litter bins, litter traps, hard waste, illegal dumping, street sweepings and council roadworks.</t>
        </r>
      </text>
    </comment>
  </commentList>
</comments>
</file>

<file path=xl/sharedStrings.xml><?xml version="1.0" encoding="utf-8"?>
<sst xmlns="http://schemas.openxmlformats.org/spreadsheetml/2006/main" count="8480" uniqueCount="1050">
  <si>
    <t>Code</t>
  </si>
  <si>
    <t>Waste description</t>
  </si>
  <si>
    <t>Waste type</t>
  </si>
  <si>
    <t>A</t>
  </si>
  <si>
    <t>A100</t>
  </si>
  <si>
    <t>B</t>
  </si>
  <si>
    <t>Acids</t>
  </si>
  <si>
    <t>B100</t>
  </si>
  <si>
    <t>C</t>
  </si>
  <si>
    <t>C100</t>
  </si>
  <si>
    <t>D</t>
  </si>
  <si>
    <t>Inorganic chemicals</t>
  </si>
  <si>
    <t>D100</t>
  </si>
  <si>
    <t>D110</t>
  </si>
  <si>
    <t>D120</t>
  </si>
  <si>
    <t>D130</t>
  </si>
  <si>
    <t>D140</t>
  </si>
  <si>
    <t>D150</t>
  </si>
  <si>
    <t>D160</t>
  </si>
  <si>
    <t>D170</t>
  </si>
  <si>
    <t>D190</t>
  </si>
  <si>
    <t>D200</t>
  </si>
  <si>
    <t>D210</t>
  </si>
  <si>
    <t>D220</t>
  </si>
  <si>
    <t>D230</t>
  </si>
  <si>
    <t>D240</t>
  </si>
  <si>
    <t>D290</t>
  </si>
  <si>
    <t>D300</t>
  </si>
  <si>
    <t>D310</t>
  </si>
  <si>
    <t>D330</t>
  </si>
  <si>
    <t>D360</t>
  </si>
  <si>
    <t>E</t>
  </si>
  <si>
    <t>Reactive chemicals</t>
  </si>
  <si>
    <t>E100</t>
  </si>
  <si>
    <t>F</t>
  </si>
  <si>
    <t>F100</t>
  </si>
  <si>
    <t xml:space="preserve">F110 </t>
  </si>
  <si>
    <t>G</t>
  </si>
  <si>
    <t>G100</t>
  </si>
  <si>
    <t>G110</t>
  </si>
  <si>
    <t>G150</t>
  </si>
  <si>
    <t>G160</t>
  </si>
  <si>
    <t>H</t>
  </si>
  <si>
    <t>H100</t>
  </si>
  <si>
    <t>H110</t>
  </si>
  <si>
    <t>H170</t>
  </si>
  <si>
    <t>J</t>
  </si>
  <si>
    <t>J100</t>
  </si>
  <si>
    <t>J120</t>
  </si>
  <si>
    <t>J160</t>
  </si>
  <si>
    <t>K</t>
  </si>
  <si>
    <t>K100</t>
  </si>
  <si>
    <t>K140</t>
  </si>
  <si>
    <t>M</t>
  </si>
  <si>
    <t>Organic chemicals</t>
  </si>
  <si>
    <t>M100</t>
  </si>
  <si>
    <t>M150</t>
  </si>
  <si>
    <t>M160</t>
  </si>
  <si>
    <t>M220</t>
  </si>
  <si>
    <t>M230</t>
  </si>
  <si>
    <t>M250</t>
  </si>
  <si>
    <t>M260</t>
  </si>
  <si>
    <t>N</t>
  </si>
  <si>
    <t>N100</t>
  </si>
  <si>
    <t>N120</t>
  </si>
  <si>
    <t>N140</t>
  </si>
  <si>
    <t>N150</t>
  </si>
  <si>
    <t>N160</t>
  </si>
  <si>
    <t>N190</t>
  </si>
  <si>
    <t>N220</t>
  </si>
  <si>
    <t>N230</t>
  </si>
  <si>
    <t>R</t>
  </si>
  <si>
    <t>R100</t>
  </si>
  <si>
    <t>R120</t>
  </si>
  <si>
    <t>R140</t>
  </si>
  <si>
    <t>T</t>
  </si>
  <si>
    <t>Miscellaneous</t>
  </si>
  <si>
    <t>T100</t>
  </si>
  <si>
    <t>T120</t>
  </si>
  <si>
    <t>Waste resulting from surface treatment of metals and plastics</t>
  </si>
  <si>
    <t>Cyanides (inorganic)</t>
  </si>
  <si>
    <t>A130</t>
  </si>
  <si>
    <t>Acidic solutions or acids in solid form</t>
  </si>
  <si>
    <t>Basic solutions or bases in solid form</t>
  </si>
  <si>
    <t>Metal carbonyls</t>
  </si>
  <si>
    <t>Inorganic fluorine compounds excluding calcium fluoride</t>
  </si>
  <si>
    <t>Mercury; mercury compounds</t>
  </si>
  <si>
    <t>Arsenic; arsenic compounds</t>
  </si>
  <si>
    <t>Chromium compounds (hexavalent and trivalent)</t>
  </si>
  <si>
    <t>Cadmium; cadmium compounds</t>
  </si>
  <si>
    <t>Beryllium; beryllium compounds</t>
  </si>
  <si>
    <t>Copper compounds</t>
  </si>
  <si>
    <t>Nickel compounds</t>
  </si>
  <si>
    <t>Lead; lead compounds</t>
  </si>
  <si>
    <t>Zinc compounds</t>
  </si>
  <si>
    <t>Non-toxic salts</t>
  </si>
  <si>
    <t>Boron compounds</t>
  </si>
  <si>
    <t>Inorganic sulfides</t>
  </si>
  <si>
    <t>Perchlorates</t>
  </si>
  <si>
    <t>D340</t>
  </si>
  <si>
    <t>Chlorates</t>
  </si>
  <si>
    <t>D350</t>
  </si>
  <si>
    <t>Waste containing peroxides other than hydrogen peroxide</t>
  </si>
  <si>
    <t>Waste from the production, formulation and use of inks, dyes, pigments, paints, lacquers and varnish</t>
  </si>
  <si>
    <t>Waste from the production, formulation and use of resins, latex, plasticisers, glues and adhesives</t>
  </si>
  <si>
    <t>F110</t>
  </si>
  <si>
    <t>Ethers</t>
  </si>
  <si>
    <t>Organic solvents excluding halogenated solvents</t>
  </si>
  <si>
    <t>Halogenated organic solvents</t>
  </si>
  <si>
    <t>Waste from the production, formulation and use of organic solvents</t>
  </si>
  <si>
    <t>Waste from the production, formulation and use of biocides and phytopharmaceuticals</t>
  </si>
  <si>
    <t>Organic phosphorous compounds</t>
  </si>
  <si>
    <t>Waste mineral oils unfit for their original intended use</t>
  </si>
  <si>
    <t>Animal effluent and residues (abattoir effluent, poultry and fish processing wastes)</t>
  </si>
  <si>
    <t>Grease trap waste</t>
  </si>
  <si>
    <t>K110</t>
  </si>
  <si>
    <t>Tannery wastes (including leather dust, ash, sludges and flours)</t>
  </si>
  <si>
    <t>Wool scouring wastes</t>
  </si>
  <si>
    <t>K190</t>
  </si>
  <si>
    <t>Polychlorinated dibenzo-furan (any congener)</t>
  </si>
  <si>
    <t>M170</t>
  </si>
  <si>
    <t>Polychlorinated dibenzo-p-dioxin (any congener)</t>
  </si>
  <si>
    <t>M180</t>
  </si>
  <si>
    <t>Cyanides (organic)</t>
  </si>
  <si>
    <t>M210</t>
  </si>
  <si>
    <t>Triethylamine catalysts for setting foundry sands</t>
  </si>
  <si>
    <t>Highly odorous organic chemicals (including mercaptans and acrylates)</t>
  </si>
  <si>
    <t>Soils contaminated with a controlled waste</t>
  </si>
  <si>
    <t>N205</t>
  </si>
  <si>
    <t>Asbestos</t>
  </si>
  <si>
    <t>Waste pharmaceuticals, drugs and medicines</t>
  </si>
  <si>
    <t>Waste from the production and preparation of pharmaceutical products</t>
  </si>
  <si>
    <t>Waste from the production, formulation and use of photographic chemicals and processing materials</t>
  </si>
  <si>
    <t>Tyres</t>
  </si>
  <si>
    <t>T140</t>
  </si>
  <si>
    <t>Waste of an explosive nature not subject to other legislation</t>
  </si>
  <si>
    <t>Isocyanate compounds</t>
  </si>
  <si>
    <t xml:space="preserve">Plating and heat treatment </t>
  </si>
  <si>
    <t>A110</t>
  </si>
  <si>
    <t>Waste from heat treatment and tempering operations containing cyanides</t>
  </si>
  <si>
    <t>Alkalis</t>
  </si>
  <si>
    <t>Antimony; antimony compounds</t>
  </si>
  <si>
    <t>D180</t>
  </si>
  <si>
    <t>Thallium; thallium compounds</t>
  </si>
  <si>
    <t>Cobalt compounds</t>
  </si>
  <si>
    <t>Selenium; selenium compounds</t>
  </si>
  <si>
    <t>D250</t>
  </si>
  <si>
    <t>Tellurium; tellurium compounds</t>
  </si>
  <si>
    <t>D270</t>
  </si>
  <si>
    <t>Vanadium compounds</t>
  </si>
  <si>
    <t>Barium compounds (excluding barium sulphate)</t>
  </si>
  <si>
    <t>Phosphorus compounds excluding mineral phosphates</t>
  </si>
  <si>
    <t>Paints, resins, inks, organic sludges</t>
  </si>
  <si>
    <t>Organic solvents</t>
  </si>
  <si>
    <t>Pesticides</t>
  </si>
  <si>
    <t>Waste from manufacture, formulation and use of wood-preserving chemicals</t>
  </si>
  <si>
    <t>Oils</t>
  </si>
  <si>
    <t>Waste oil/water, hydrocarbons/water mixtures or emulsions</t>
  </si>
  <si>
    <t>Waste tarry residues arising from refining, distillation, and any pyrolytic treatment</t>
  </si>
  <si>
    <t>Putrescible/ organic waste</t>
  </si>
  <si>
    <t>Waste substances and articles containing or contaminated with polychlorinated biphenyls, polychlorinated napthalenes, polychlorinated terphenyls and/or polybrominated biphenyls</t>
  </si>
  <si>
    <t>Phenols, phenol compounds including chlorophenols</t>
  </si>
  <si>
    <t>Organo halogen compounds—other than substances referred to in this Table or Table 2</t>
  </si>
  <si>
    <t>Surface active agents (surfactants), containing principally organic constituents and which may contain metals and inorganic materials</t>
  </si>
  <si>
    <t>Soil/ sludge</t>
  </si>
  <si>
    <t>Containers and drums that are contaminated with residues of substances referred to in this list</t>
  </si>
  <si>
    <t>Fire debris and fire wash waters</t>
  </si>
  <si>
    <t>Residues from industrial waste treatment/disposal operations</t>
  </si>
  <si>
    <t>Ceramic-based fibres with physico-chemical characteristics similar to those of asbestos</t>
  </si>
  <si>
    <t>Clinical and pharmaceutical</t>
  </si>
  <si>
    <t>Clinical and related wastes</t>
  </si>
  <si>
    <t>Waste chemical substances arising from research and development or teaching activities, including those which are not identified and/or are new and whose effects on human health and/or the environment are not known</t>
  </si>
  <si>
    <t>T200</t>
  </si>
  <si>
    <t>Fly ash, excluding fly ash generated from Australian coal fired power stations</t>
  </si>
  <si>
    <t>Encapsulated, chemically-fixed, solidified or polymerised wastes referred to in this list</t>
  </si>
  <si>
    <t>Filter cake contaminated with residues of substances referred to in this list</t>
  </si>
  <si>
    <t>Organic phosphorus compounds</t>
  </si>
  <si>
    <t xml:space="preserve">Acidic solutions or acids in solid form </t>
  </si>
  <si>
    <t xml:space="preserve">Animal effluent and residues (abattoir effluent, poultry and fish processing wastes) </t>
  </si>
  <si>
    <t xml:space="preserve">Antimony; antimony compounds </t>
  </si>
  <si>
    <t xml:space="preserve">Arsenic; arsenic compounds </t>
  </si>
  <si>
    <t xml:space="preserve">Asbestos </t>
  </si>
  <si>
    <t xml:space="preserve">Barium compounds (excluding barium sulphate) </t>
  </si>
  <si>
    <t xml:space="preserve">Basic solutions or bases in solid form </t>
  </si>
  <si>
    <t xml:space="preserve">Beryllium; beryllium compounds </t>
  </si>
  <si>
    <t xml:space="preserve">Boron compounds </t>
  </si>
  <si>
    <t xml:space="preserve">Cadmium; cadmium compounds </t>
  </si>
  <si>
    <t xml:space="preserve">Ceramic-based fibres with physico-chemical characteristics similar to those of asbestos </t>
  </si>
  <si>
    <t xml:space="preserve">Chlorates </t>
  </si>
  <si>
    <t xml:space="preserve">Chromium compounds (hexavalent and trivalent) </t>
  </si>
  <si>
    <t xml:space="preserve">Clinical and related wastes </t>
  </si>
  <si>
    <t xml:space="preserve">Cobalt compounds </t>
  </si>
  <si>
    <t xml:space="preserve">Containers and drums which are contaminated with residues of substances referred to in this list </t>
  </si>
  <si>
    <t xml:space="preserve">Copper compounds </t>
  </si>
  <si>
    <t xml:space="preserve">Cyanides (inorganic) </t>
  </si>
  <si>
    <t xml:space="preserve">Cyanides (organic) </t>
  </si>
  <si>
    <t xml:space="preserve">Encapsulated, chemically fixed, solidified or polymerised wastes </t>
  </si>
  <si>
    <t xml:space="preserve">Ethers </t>
  </si>
  <si>
    <t xml:space="preserve">Filter cake </t>
  </si>
  <si>
    <t xml:space="preserve">Fire debris and fire washwaters </t>
  </si>
  <si>
    <t xml:space="preserve">Fly ash </t>
  </si>
  <si>
    <t xml:space="preserve">Grease trap waste </t>
  </si>
  <si>
    <t xml:space="preserve">Halogenated organic solvents </t>
  </si>
  <si>
    <t xml:space="preserve">Highly odorous organic chemicals (including mercaptans and acrylates) </t>
  </si>
  <si>
    <t xml:space="preserve">Inorganic fluorine compounds excluding calcium fluoride </t>
  </si>
  <si>
    <t xml:space="preserve">Inorganic sulfides </t>
  </si>
  <si>
    <t xml:space="preserve">Isocyanate compounds </t>
  </si>
  <si>
    <t xml:space="preserve">Lead; lead compounds </t>
  </si>
  <si>
    <t xml:space="preserve">Mercury; mercury compounds </t>
  </si>
  <si>
    <t xml:space="preserve">Metal carbonyls </t>
  </si>
  <si>
    <t xml:space="preserve">Nickel compounds </t>
  </si>
  <si>
    <t xml:space="preserve">Non toxic salts </t>
  </si>
  <si>
    <t xml:space="preserve">Organic phosphorous compounds </t>
  </si>
  <si>
    <t xml:space="preserve">Organic solvents excluding halogenated solvents </t>
  </si>
  <si>
    <t xml:space="preserve">Organohalogen compounds – other than substances referred to in this list </t>
  </si>
  <si>
    <t xml:space="preserve">Perchlorates </t>
  </si>
  <si>
    <t xml:space="preserve">Phenols, phenol compounds including chlorophenols </t>
  </si>
  <si>
    <t xml:space="preserve">Phosphorus compounds excluding mineral phosphates </t>
  </si>
  <si>
    <t xml:space="preserve">Polychlorinated dibenzo–furan (any congener) </t>
  </si>
  <si>
    <t xml:space="preserve">Polychlorinated dibenzo–p–dioxin (any congener) </t>
  </si>
  <si>
    <t xml:space="preserve">Residues from industrial waste treatment/disposal operations </t>
  </si>
  <si>
    <t xml:space="preserve">Selenium; selenium compounds </t>
  </si>
  <si>
    <t xml:space="preserve">Sewage sludge and residues including nightsoil and septic tank sludge </t>
  </si>
  <si>
    <t xml:space="preserve">Soils contaminated with a controlled waste </t>
  </si>
  <si>
    <t xml:space="preserve">Surface active agents (surfactants), containing principally organic constituents and which may contain metals and inorganic materials </t>
  </si>
  <si>
    <t xml:space="preserve">Tannery wastes (including leather dust, ash, sludges and flours) </t>
  </si>
  <si>
    <t xml:space="preserve">Tellurium; tellurium compounds </t>
  </si>
  <si>
    <t xml:space="preserve">Thallium; thallium compounds </t>
  </si>
  <si>
    <t xml:space="preserve">Triethylamine catalysts for setting foundry sands </t>
  </si>
  <si>
    <t xml:space="preserve">Tyres </t>
  </si>
  <si>
    <t xml:space="preserve">Vanadium compounds </t>
  </si>
  <si>
    <t xml:space="preserve">Waste chemical substances arising from research and development or teaching activities including those which are not identified and/or are new and whose effects on human health and/or the environment are not known </t>
  </si>
  <si>
    <t xml:space="preserve">Waste containing peroxides other than hydrogen peroxide </t>
  </si>
  <si>
    <t xml:space="preserve">Waste from heat treatment and tempering operations containing cyanides </t>
  </si>
  <si>
    <t xml:space="preserve">Waste from manufacture, formulation and use of wood-preserving chemicals </t>
  </si>
  <si>
    <t xml:space="preserve">Waste from the production, formulation and use of biocides and phytopharmaceuticals </t>
  </si>
  <si>
    <t xml:space="preserve">Waste from the production, formulation and use of inks, dyes, pigments, paints, lacquers and varnish </t>
  </si>
  <si>
    <t xml:space="preserve">Waste from the production, formulation and use of organic solvents </t>
  </si>
  <si>
    <t xml:space="preserve">Waste from the production, formulation and use of photographic chemicals and processing materials </t>
  </si>
  <si>
    <t xml:space="preserve">Waste from the production, formulation and use of resins, latex, plasticisers, glues and adhesives </t>
  </si>
  <si>
    <t xml:space="preserve">Waste from the production and preparation of pharmaceutical products </t>
  </si>
  <si>
    <t xml:space="preserve">Waste mineral oils unfit for their original intended use </t>
  </si>
  <si>
    <t xml:space="preserve">Waste oil/water, hydrocarbons/water mixtures or emulsions </t>
  </si>
  <si>
    <t xml:space="preserve">Waste pharmaceuticals, drugs and medicines </t>
  </si>
  <si>
    <t xml:space="preserve">Waste resulting from surface treatment of metals and plastics </t>
  </si>
  <si>
    <t xml:space="preserve">Waste tarry residues arising from refining, distillation, and any pyrolytic treatment </t>
  </si>
  <si>
    <t xml:space="preserve">Waste substances and articles containing or contaminated with polychlorinated biphenyls [(PCBs), polychlorinated napthalenes (PCNs), polychlorinated terphenyls (PCTs) and/or polybrominated biphenyls (PBBs)] </t>
  </si>
  <si>
    <t xml:space="preserve">Waste of an explosive nature not subject to other legislation </t>
  </si>
  <si>
    <t xml:space="preserve">Wool scouring wastes </t>
  </si>
  <si>
    <t xml:space="preserve">Zinc compounds </t>
  </si>
  <si>
    <t xml:space="preserve">B100 </t>
  </si>
  <si>
    <t xml:space="preserve">K100 </t>
  </si>
  <si>
    <t xml:space="preserve">D170 </t>
  </si>
  <si>
    <t xml:space="preserve">D130 </t>
  </si>
  <si>
    <t xml:space="preserve">N220 </t>
  </si>
  <si>
    <t xml:space="preserve">D290 </t>
  </si>
  <si>
    <t xml:space="preserve">C100 </t>
  </si>
  <si>
    <t xml:space="preserve">D160 </t>
  </si>
  <si>
    <t xml:space="preserve">D310 </t>
  </si>
  <si>
    <t xml:space="preserve">D150 </t>
  </si>
  <si>
    <t xml:space="preserve">N230 </t>
  </si>
  <si>
    <t xml:space="preserve">D350 </t>
  </si>
  <si>
    <t xml:space="preserve">D140 </t>
  </si>
  <si>
    <t xml:space="preserve">R100 </t>
  </si>
  <si>
    <t xml:space="preserve">D200 </t>
  </si>
  <si>
    <t xml:space="preserve">N100 </t>
  </si>
  <si>
    <t xml:space="preserve">D190 </t>
  </si>
  <si>
    <t xml:space="preserve">A130 </t>
  </si>
  <si>
    <t xml:space="preserve">M210 </t>
  </si>
  <si>
    <t xml:space="preserve">N160 </t>
  </si>
  <si>
    <t xml:space="preserve">G100 </t>
  </si>
  <si>
    <t xml:space="preserve">N190 </t>
  </si>
  <si>
    <t xml:space="preserve">N140 </t>
  </si>
  <si>
    <t xml:space="preserve">N150 </t>
  </si>
  <si>
    <t xml:space="preserve">K110 </t>
  </si>
  <si>
    <t xml:space="preserve">G150 </t>
  </si>
  <si>
    <t xml:space="preserve">M260 </t>
  </si>
  <si>
    <t xml:space="preserve">D110 </t>
  </si>
  <si>
    <t xml:space="preserve">D330 </t>
  </si>
  <si>
    <t xml:space="preserve">M220 </t>
  </si>
  <si>
    <t xml:space="preserve">D220 </t>
  </si>
  <si>
    <t xml:space="preserve">D120 </t>
  </si>
  <si>
    <t xml:space="preserve">D100 </t>
  </si>
  <si>
    <t xml:space="preserve">D210 </t>
  </si>
  <si>
    <t xml:space="preserve">D300 </t>
  </si>
  <si>
    <t xml:space="preserve">H110 </t>
  </si>
  <si>
    <t xml:space="preserve">G110 </t>
  </si>
  <si>
    <t xml:space="preserve">M160 </t>
  </si>
  <si>
    <t xml:space="preserve">D340 </t>
  </si>
  <si>
    <t xml:space="preserve">M150 </t>
  </si>
  <si>
    <t xml:space="preserve">D360 </t>
  </si>
  <si>
    <t xml:space="preserve">M170 </t>
  </si>
  <si>
    <t xml:space="preserve">M180 </t>
  </si>
  <si>
    <t xml:space="preserve">N205 </t>
  </si>
  <si>
    <t xml:space="preserve">D240 </t>
  </si>
  <si>
    <t xml:space="preserve">K130 </t>
  </si>
  <si>
    <t xml:space="preserve">N120 </t>
  </si>
  <si>
    <t xml:space="preserve">M250 </t>
  </si>
  <si>
    <t xml:space="preserve">K140 </t>
  </si>
  <si>
    <t xml:space="preserve">D250 </t>
  </si>
  <si>
    <t xml:space="preserve">D180 </t>
  </si>
  <si>
    <t xml:space="preserve">M230 </t>
  </si>
  <si>
    <t xml:space="preserve">T140 </t>
  </si>
  <si>
    <t xml:space="preserve">D270 </t>
  </si>
  <si>
    <t xml:space="preserve">T100 </t>
  </si>
  <si>
    <t xml:space="preserve">E100 </t>
  </si>
  <si>
    <t xml:space="preserve">A110 </t>
  </si>
  <si>
    <t xml:space="preserve">H170 </t>
  </si>
  <si>
    <t xml:space="preserve">H100 </t>
  </si>
  <si>
    <t xml:space="preserve">F100 </t>
  </si>
  <si>
    <t xml:space="preserve">G160 </t>
  </si>
  <si>
    <t xml:space="preserve">T120 </t>
  </si>
  <si>
    <t xml:space="preserve">R140 </t>
  </si>
  <si>
    <t xml:space="preserve">J100 </t>
  </si>
  <si>
    <t xml:space="preserve">J120 </t>
  </si>
  <si>
    <t xml:space="preserve">R120 </t>
  </si>
  <si>
    <t xml:space="preserve">A100 </t>
  </si>
  <si>
    <t xml:space="preserve">J160 </t>
  </si>
  <si>
    <t xml:space="preserve">M100 </t>
  </si>
  <si>
    <t xml:space="preserve">E120 </t>
  </si>
  <si>
    <t xml:space="preserve">K190 </t>
  </si>
  <si>
    <t xml:space="preserve">D230 </t>
  </si>
  <si>
    <t>Waste mineral oils unfit for their originally intended use</t>
  </si>
  <si>
    <t>Other organic chemicals</t>
  </si>
  <si>
    <t>Y1</t>
  </si>
  <si>
    <t>Clinical wastes from medical care in hospitals, medical centres and clinics</t>
  </si>
  <si>
    <t>Y2</t>
  </si>
  <si>
    <t>Wastes from the production and preparation of pharmaceutical products</t>
  </si>
  <si>
    <t>Y3</t>
  </si>
  <si>
    <t>Y4</t>
  </si>
  <si>
    <t>Wastes from the production…... of biocides and phytopharmaceuticals</t>
  </si>
  <si>
    <t>Y5</t>
  </si>
  <si>
    <t>Wastes from the manufacture…... of wood preserving chemicals</t>
  </si>
  <si>
    <t>Y6</t>
  </si>
  <si>
    <t>Wastes from the production, formulation and use of organic solvent</t>
  </si>
  <si>
    <t>Y7</t>
  </si>
  <si>
    <t>Wastes from heat treatment and tempering operations containing cyanides</t>
  </si>
  <si>
    <t>Y8</t>
  </si>
  <si>
    <t>Y9</t>
  </si>
  <si>
    <t>Waste oils/water, hydrocarbons/water mixtures, emulsion</t>
  </si>
  <si>
    <t>Y10</t>
  </si>
  <si>
    <t xml:space="preserve">Waste substances ….containing or contaminated with PCBs, PCTs, PBBs </t>
  </si>
  <si>
    <t>Y11</t>
  </si>
  <si>
    <t>Waste tarry residues ... from refining, distillation and any pyrolytic treatment</t>
  </si>
  <si>
    <t>Y12</t>
  </si>
  <si>
    <t>Wastes from production…... of inks, dyes, pigments, paints, etc</t>
  </si>
  <si>
    <t>Y13</t>
  </si>
  <si>
    <t>Wastes from production……resins, latex, plasticizers, glues, etc</t>
  </si>
  <si>
    <t>Y14</t>
  </si>
  <si>
    <t>Waste chemical substances arising ….. environment are not known</t>
  </si>
  <si>
    <t>Y15</t>
  </si>
  <si>
    <t>Wastes of an explosive nature not subject to other legislation</t>
  </si>
  <si>
    <t>Y16</t>
  </si>
  <si>
    <t>Wastes from production, formulation and use of photographic chemicals…</t>
  </si>
  <si>
    <t>Y17</t>
  </si>
  <si>
    <t>Wastes resulting from surface treatment of metals and plastics</t>
  </si>
  <si>
    <t>Y18</t>
  </si>
  <si>
    <t>Residues arising from industrial waste disposal operations</t>
  </si>
  <si>
    <t>Y19</t>
  </si>
  <si>
    <t>Y20</t>
  </si>
  <si>
    <t>Y21</t>
  </si>
  <si>
    <t>Hexavalent chromium compounds</t>
  </si>
  <si>
    <t>Y22</t>
  </si>
  <si>
    <t>Y23</t>
  </si>
  <si>
    <t>Y24</t>
  </si>
  <si>
    <t>Y25</t>
  </si>
  <si>
    <t>Y26</t>
  </si>
  <si>
    <t>Y27</t>
  </si>
  <si>
    <t>Y28</t>
  </si>
  <si>
    <t>Y29</t>
  </si>
  <si>
    <t>Y30</t>
  </si>
  <si>
    <t>Y31</t>
  </si>
  <si>
    <t>Y32</t>
  </si>
  <si>
    <t>Y33</t>
  </si>
  <si>
    <t>Inorganic cyanides</t>
  </si>
  <si>
    <t>Y34</t>
  </si>
  <si>
    <t>Y35</t>
  </si>
  <si>
    <t>Y36</t>
  </si>
  <si>
    <t>Asbestos (dust and fibres)</t>
  </si>
  <si>
    <t>Y37</t>
  </si>
  <si>
    <t>Y38</t>
  </si>
  <si>
    <t>Organic cyanides</t>
  </si>
  <si>
    <t>Y39</t>
  </si>
  <si>
    <t>Phenols; phenol compounds including chlorophenols</t>
  </si>
  <si>
    <t>Y40</t>
  </si>
  <si>
    <t>Y41</t>
  </si>
  <si>
    <t>Y42</t>
  </si>
  <si>
    <t>Y43</t>
  </si>
  <si>
    <t>Any congenor of polychlorinated dibenzo-furan</t>
  </si>
  <si>
    <t>Y44</t>
  </si>
  <si>
    <t>Any congenor of polychlorinated dibenzo-p-dioxin</t>
  </si>
  <si>
    <t>Y45</t>
  </si>
  <si>
    <t>Organohalogen compounds other than …(e.g. Y39, Y41, Y42, Y43, Y44)</t>
  </si>
  <si>
    <t>Y46</t>
  </si>
  <si>
    <t>Wastes collected from households</t>
  </si>
  <si>
    <t>Y47</t>
  </si>
  <si>
    <t>Residues arising from the incineration of household wastes</t>
  </si>
  <si>
    <t>Other metal compounds</t>
  </si>
  <si>
    <t>Other inorganic chemicals</t>
  </si>
  <si>
    <t>Waste packages and containers containing Annex 1 substances in concentrations sufficient to exhibit Annex III hazard characteristics</t>
  </si>
  <si>
    <t>Key</t>
  </si>
  <si>
    <t>Tonnes generated</t>
  </si>
  <si>
    <t>National Environment Protection (Movement of Controlled Waste between States and Territories) Measure</t>
  </si>
  <si>
    <t>Basel Convention</t>
  </si>
  <si>
    <t>Waste description (NEPM Schedule A, List 1)</t>
  </si>
  <si>
    <t>Categories of wastes requiring special consideration (Annex II)</t>
  </si>
  <si>
    <t>Waste description (Annex 1)</t>
  </si>
  <si>
    <t>Wastes having as constituents …</t>
  </si>
  <si>
    <t>Additional waste categories not included in Y-Codes</t>
  </si>
  <si>
    <t>NEPM 15 waste description</t>
  </si>
  <si>
    <t>This worksheet translates data on South Australian listed wastes into Basel codes (via NEPM codes)</t>
  </si>
  <si>
    <t>South Australia - listed wastes</t>
  </si>
  <si>
    <t>This worksheet translates data on ACT controlled wastes into Basel codes (via NEPM codes)</t>
  </si>
  <si>
    <t>ACT - controlled wastes (NEPM)</t>
  </si>
  <si>
    <t>WA controlled wastes</t>
  </si>
  <si>
    <t>Category  group no.</t>
  </si>
  <si>
    <t>Category group name</t>
  </si>
  <si>
    <t xml:space="preserve">Category No. </t>
  </si>
  <si>
    <t>Description</t>
  </si>
  <si>
    <t>Filter cake</t>
  </si>
  <si>
    <t>Organochlorine pesticides</t>
  </si>
  <si>
    <t>Oil interceptor waste</t>
  </si>
  <si>
    <t>Inorganic cyanide</t>
  </si>
  <si>
    <t>Non toxic salts</t>
  </si>
  <si>
    <t>Waste tyres</t>
  </si>
  <si>
    <t>NSW</t>
  </si>
  <si>
    <t>ACT</t>
  </si>
  <si>
    <t>NT</t>
  </si>
  <si>
    <t>Qld</t>
  </si>
  <si>
    <t>SA</t>
  </si>
  <si>
    <t>WA</t>
  </si>
  <si>
    <t>Tas</t>
  </si>
  <si>
    <t>Vic</t>
  </si>
  <si>
    <t>Australian Bureau of Statistics (2013) 3101.0 Australian Demographic Statistics, June 2013, TABLE 4. Estimated Resident Population, States and Territories (Number)</t>
  </si>
  <si>
    <t>Factor for 'Wastes collected from households'</t>
  </si>
  <si>
    <t>Population Australia 2010/11</t>
  </si>
  <si>
    <t>Days per year</t>
  </si>
  <si>
    <t>Assumed % not relevant to Basel</t>
  </si>
  <si>
    <t>Population ACT 2010/11 (millions)</t>
  </si>
  <si>
    <t>MSW generated (kg/capita/day)</t>
  </si>
  <si>
    <t>MSW generated in Australia 2010/11 excl. ACT (Mt)</t>
  </si>
  <si>
    <t>Blue Environment estimate based on review of Vic data and personal communication with EPA NSW</t>
  </si>
  <si>
    <t>Basel generation rate (kg/capita/day)</t>
  </si>
  <si>
    <t>Basel generation rate (t/capita/six monthly period)</t>
  </si>
  <si>
    <t>Space for jurisdiction to enter data</t>
  </si>
  <si>
    <t>Jurisdictional data as provided</t>
  </si>
  <si>
    <t>Population data during each data period</t>
  </si>
  <si>
    <t>Bold italics</t>
  </si>
  <si>
    <t>Adjusted ACT data</t>
  </si>
  <si>
    <t>Adjusted SA data</t>
  </si>
  <si>
    <t>Adjusted WA data</t>
  </si>
  <si>
    <t>Sources</t>
  </si>
  <si>
    <t>This worksheet collates the adjusted jurisdiction data into single Australian data sets for NEPM &amp; Basel codes</t>
  </si>
  <si>
    <t>This worksheet compiles the NEPM and Basel data derived from the jurisdictional reports, then inserts adjustments and fills gaps.</t>
  </si>
  <si>
    <t>Waste tyres generated in each 6 months relevant to this work (tonnes)</t>
  </si>
  <si>
    <t xml:space="preserve">Assumptions: </t>
  </si>
  <si>
    <t>Biosolids generated in each 6 months relevant to this work (tonnes)</t>
  </si>
  <si>
    <t>Key:</t>
  </si>
  <si>
    <t>Green font</t>
  </si>
  <si>
    <t>Data obtained from an external source as specified</t>
  </si>
  <si>
    <t>Red font</t>
  </si>
  <si>
    <t>Assumption</t>
  </si>
  <si>
    <t>Soils contaminated with residues of substances in Basel Y-codes 19-45</t>
  </si>
  <si>
    <t>Sludges contaminated with residues of substances in Basel Y-codes 19-45</t>
  </si>
  <si>
    <t>This worksheet translates data on Victorian prescribed wastes into Basel codes (via NEPM codes)</t>
  </si>
  <si>
    <t>VIC prescribed wastes</t>
  </si>
  <si>
    <t>Cyanide-containing wastes.</t>
  </si>
  <si>
    <t>Acids in a solid form or acidic solution with pH value of 4 or less.</t>
  </si>
  <si>
    <t>Alkaline solids or alkaline solutions with pH value of 9 or more.
Includes, but is not limited to: caustic soda, alkaline cleaners,
and waste lime.</t>
  </si>
  <si>
    <t>Metal carbonyls.</t>
  </si>
  <si>
    <t>Inorganic fluorine compounds (excluding calcium fluoride).</t>
  </si>
  <si>
    <t>Mercury and mercury compounds.</t>
  </si>
  <si>
    <t>Equipment and articles containing mercury.</t>
  </si>
  <si>
    <t>D121</t>
  </si>
  <si>
    <t>Arsenic and arsenic compounds.</t>
  </si>
  <si>
    <t>Chromium compounds (hexavalent and trivalent).</t>
  </si>
  <si>
    <t>Tannery wastes containing chromium.</t>
  </si>
  <si>
    <t>D141</t>
  </si>
  <si>
    <t>Cadmium and cadmium compounds.</t>
  </si>
  <si>
    <t>Beryllium and beryllium compounds.</t>
  </si>
  <si>
    <t>Antimony and antimony compounds.</t>
  </si>
  <si>
    <t>Copper compounds.</t>
  </si>
  <si>
    <t>Cobalt and cobalt compounds.</t>
  </si>
  <si>
    <t>Nickel compounds.</t>
  </si>
  <si>
    <t>Lead and lead compounds.</t>
  </si>
  <si>
    <t>Zinc compounds.</t>
  </si>
  <si>
    <t>Selenium and selenium compounds.</t>
  </si>
  <si>
    <t>Waste from the production, formulation  and use of photographic chemicals and processing materials (containing silver).</t>
  </si>
  <si>
    <t>D261</t>
  </si>
  <si>
    <t>Barium compounds.</t>
  </si>
  <si>
    <t>Non-toxic salts (e.g. sodium chloride, calcium chloride).</t>
  </si>
  <si>
    <t>Boron compounds.</t>
  </si>
  <si>
    <t>Inorganic sulfur-containing compounds.</t>
  </si>
  <si>
    <t>Phosphorus compounds, excluding mineral phosphates.</t>
  </si>
  <si>
    <t>Inorganic  chemicals, NOS.</t>
  </si>
  <si>
    <t>D390</t>
  </si>
  <si>
    <t>Smelter waste containing prescribed waste.</t>
  </si>
  <si>
    <t>D400</t>
  </si>
  <si>
    <t>Oxidising agents, including peroxides, NOS.</t>
  </si>
  <si>
    <t>Waste of an explosive nature not subject to other legislation, including azides.</t>
  </si>
  <si>
    <t>E120</t>
  </si>
  <si>
    <t>Highly reactive  chemicals, NOS.</t>
  </si>
  <si>
    <t>E130</t>
  </si>
  <si>
    <t>Aqueous-based wastes from the production, formulation and use of inks, dyes, pigments, paints, lacquers and varnish.</t>
  </si>
  <si>
    <t>Aqueous-based wastes from the production, formulation and use of resins, latex, plasticisers, glues and adhesives.</t>
  </si>
  <si>
    <t>Solvent-based wastes from the production, formulation and use of inks, dyes, pigments, paints, lacquers and varnish.</t>
  </si>
  <si>
    <t>F120</t>
  </si>
  <si>
    <t>Solvent-based wastes from the production, formulation and use of resins, latex, plasticisers, glues and adhesives.</t>
  </si>
  <si>
    <t>F130</t>
  </si>
  <si>
    <t>Ethers and highly flammable hydrocarbons, such as petrol and jet fuel.</t>
  </si>
  <si>
    <t>Non-halogenated organic solvents.</t>
  </si>
  <si>
    <t>Dry-cleaning wastes containing organic solvents, such as perchloroethylene.</t>
  </si>
  <si>
    <t>G130</t>
  </si>
  <si>
    <t>Halogenated organic solvents.</t>
  </si>
  <si>
    <t>Wastes from the production, formulation  and use of organic solvents, NOS.</t>
  </si>
  <si>
    <t>Waste from the production, formulation  and use of biocides and phytopharmaceuticals, NOS.</t>
  </si>
  <si>
    <t>Organophosphorus pesticides.</t>
  </si>
  <si>
    <t>Mixed pesticide residue.</t>
  </si>
  <si>
    <t>H160</t>
  </si>
  <si>
    <t>Copper-chrome-arsenic  (CCA).</t>
  </si>
  <si>
    <t>Waste oils unfit  for their original  intended  use (lubricating, hydraulic).</t>
  </si>
  <si>
    <t>Waste hydrocarbons.</t>
  </si>
  <si>
    <t>J110</t>
  </si>
  <si>
    <t>Waste oils and water mixtures or emulsions, and hydrocarbon and water mixtures or emulsions.</t>
  </si>
  <si>
    <t>Triple interceptor waste and stormwater contaminated with oil or hydrocarbons.</t>
  </si>
  <si>
    <t>J130</t>
  </si>
  <si>
    <t>Transformer fluids (excluding PCBs).</t>
  </si>
  <si>
    <t>J140</t>
  </si>
  <si>
    <t>Other (cutting oils, soluble oils).</t>
  </si>
  <si>
    <t>J150</t>
  </si>
  <si>
    <t>Soils/ sludges contaminated with residues of substances in Basel Y-codes 19-45</t>
  </si>
  <si>
    <t>Tarry residues arising from refining, distillation  and any pyrolytic treatment.</t>
  </si>
  <si>
    <t>Used oil filters.  Note: this waste must be reused or recycled and is prohibited from disposal to landfill.</t>
  </si>
  <si>
    <t>J170</t>
  </si>
  <si>
    <t>Animal effluent and residues.  Examples: abattoir  wastes, poultry  wastes, fish and shellfish wastes.</t>
  </si>
  <si>
    <t>Grease interceptor trap effluent.</t>
  </si>
  <si>
    <t>K120</t>
  </si>
  <si>
    <t>Tannery wastes (not containing chromium) and wool scouring wastes.</t>
  </si>
  <si>
    <t>Food and beverage processing wastes, including animal and vegetable oils and derivatives.</t>
  </si>
  <si>
    <t>K200</t>
  </si>
  <si>
    <t>L</t>
  </si>
  <si>
    <t>Car and truck washwaters.</t>
  </si>
  <si>
    <t>L100</t>
  </si>
  <si>
    <t>Industrial washwaters from cleaning, rinsing or washing operations,  NOS.
Examples: textile cleaning/processing  effluent  NOS, industrial plant and machinery washwaters, cooling tower washwaters.</t>
  </si>
  <si>
    <t>L150</t>
  </si>
  <si>
    <t>Polychlorinated biphenyls (PCBs) (PCBs &gt;50 mg per kg).</t>
  </si>
  <si>
    <t>Waste substances and articles containing or contaminated with polychlorinated biphenyls (PCBs) ([PCBs] &gt;50 mg per kg).</t>
  </si>
  <si>
    <t>M110</t>
  </si>
  <si>
    <t>Solvents, oils and materials contaminated with  PCBs ([PCBs] &gt;2 mg per kg and [PCBs] &lt;50 mg per kg).</t>
  </si>
  <si>
    <t>M120</t>
  </si>
  <si>
    <t>Non-halogenated organic chemicals (non solvent), NOS. Examples: glycol coolant, radiator fluid, brake fluid.</t>
  </si>
  <si>
    <t>M130</t>
  </si>
  <si>
    <t>Phenol and phenol compounds, including halogenated phenols.</t>
  </si>
  <si>
    <t>Halogenated organic chemicals, NOS.</t>
  </si>
  <si>
    <t>Isocyanate compounds (organic).</t>
  </si>
  <si>
    <t>Amines and other nitrogen compounds.</t>
  </si>
  <si>
    <t>Detergents and surface active agents (surfactants).</t>
  </si>
  <si>
    <t>Highly odorous organic chemicals (including mercaptans and acrylates).</t>
  </si>
  <si>
    <t>Prescribed waste residues in rigid steel or plastic containers with an original volume less than 200 litres (hazardous substances to be specified).</t>
  </si>
  <si>
    <t>Prescribed waste residues in rigid steel or plastic containers with an original volume greater than or equal to 200 litres (hazardous substances to be specified).
Note: this waste must be reused or recycled and is prohibited from disposal to landfill.</t>
  </si>
  <si>
    <t>N105</t>
  </si>
  <si>
    <t>Prescribed waste residues in bags or containers not specified under N100 and N105 (hazardous substances to be specified).</t>
  </si>
  <si>
    <t>N110</t>
  </si>
  <si>
    <t>Category A contaminated  soil - hazardous substances to be specified. (Refer to EPA guidance material for details on identifying Hazard Category). Note: these wastes must not be disposed directly to landfill without prior treatment.</t>
  </si>
  <si>
    <t>N119</t>
  </si>
  <si>
    <t>Category  B contaminated soil - hazardous substances to be specified. (Refer to EPA guidance material for details on identifying Hazard Category).</t>
  </si>
  <si>
    <t>Category C contaminated soil - hazardous substances to be specified. (Refer to EPA guidance material for details on identifying Hazard Category).</t>
  </si>
  <si>
    <t>N121</t>
  </si>
  <si>
    <t>Spent catalysts (must specify contaminants).</t>
  </si>
  <si>
    <t>N130</t>
  </si>
  <si>
    <t>Fire debris and fire wash-waters that are contaminated with chemicals (must specify contaminants).</t>
  </si>
  <si>
    <t>Fly ash.</t>
  </si>
  <si>
    <t>Prescribed industrial wastes that are immobilised in accordance with a classification issued by EPA.</t>
  </si>
  <si>
    <t>Prescribed industrial wastes that are chemically fixed and/or encapsulated.</t>
  </si>
  <si>
    <t>N170</t>
  </si>
  <si>
    <t>Prescribed industrial waste that are solidified or polymerised.</t>
  </si>
  <si>
    <t>N180</t>
  </si>
  <si>
    <t>Filter cake.</t>
  </si>
  <si>
    <t>Ion-exchange column residues.</t>
  </si>
  <si>
    <t>N200</t>
  </si>
  <si>
    <t>Residues from pollution control operations, NOS. Examples: activated  carbon, baghouse dust, residues from industrial waste disposal operations.</t>
  </si>
  <si>
    <t xml:space="preserve">N210 </t>
  </si>
  <si>
    <t>Asbestos.</t>
  </si>
  <si>
    <t>Ceramic-based fibres with physico-chemical characteristics similar to those of asbestos.</t>
  </si>
  <si>
    <t>Absorbents contaminated with prescribed waste residues, such as rags contaminated with oils, hydrocarbons and organic solvents (must specify contaminants).</t>
  </si>
  <si>
    <t>N250</t>
  </si>
  <si>
    <t>Solid wastes contaminated with prescribed waste residues, NOS (must specify contaminants).
Examples: contaminated bricks and concrete, contaminated steel, shredder floc.</t>
  </si>
  <si>
    <t>N260</t>
  </si>
  <si>
    <t>Clinical and related wastes, NOS (biomedical waste).</t>
  </si>
  <si>
    <t>Pathogenic substances and quarantine wastes.</t>
  </si>
  <si>
    <t>R110</t>
  </si>
  <si>
    <t>Waste from the use of pharmaceutical products, NOS.</t>
  </si>
  <si>
    <t>Cytotoxic substances.</t>
  </si>
  <si>
    <t>R130</t>
  </si>
  <si>
    <t>Waste from the production of pharmaceutical products and cosmetics, NOS.</t>
  </si>
  <si>
    <t>Waste chemical substances arising from laboratories, research and development, or teaching activities.</t>
  </si>
  <si>
    <t>Waste from the production, formulation  and use of photographic chemicals and processing materials (which do not contain silver).</t>
  </si>
  <si>
    <t>Inert sludges or slurries, such as clay or ceramic suspensions, drilling  mud, and pit water with negligible hydrocarbon contamination.</t>
  </si>
  <si>
    <t>T130</t>
  </si>
  <si>
    <t>Foundry sands.</t>
  </si>
  <si>
    <t>T160</t>
  </si>
  <si>
    <t>Waste chemicals in small quantities,  NOS, such  as collected household chemicals.</t>
  </si>
  <si>
    <t>T170</t>
  </si>
  <si>
    <t>Adjusted Vic data</t>
  </si>
  <si>
    <t>Data not collected</t>
  </si>
  <si>
    <t>This worksheet translates data on Queensland regulated wastes into Basel codes (via NEPM codes)</t>
  </si>
  <si>
    <t>QLD regulated wastes</t>
  </si>
  <si>
    <t>Waste from surface treatment of metals or plastics</t>
  </si>
  <si>
    <t>Waste from heat treatment or tempering operations that use cyanides</t>
  </si>
  <si>
    <t>Acidic solutions and acids in solid form</t>
  </si>
  <si>
    <t>Basic (a;kaline) solutions or bases (alkalis) in solid form</t>
  </si>
  <si>
    <t>Inorganic fluorine compounds (other than calcium fluoride).</t>
  </si>
  <si>
    <t>Lead and lead compounds including lead-acid batteries.</t>
  </si>
  <si>
    <t>Barium compounds other than barium sulfate.</t>
  </si>
  <si>
    <t>Non-toxic salts, for example, saline effluent</t>
  </si>
  <si>
    <t>Phosphorus compounds other than mineral phosphates</t>
  </si>
  <si>
    <t>Organic solvents other than halogenated solvents, including, for example, ethanol</t>
  </si>
  <si>
    <t>Mineral oils</t>
  </si>
  <si>
    <t>Oil and water mixtures or emulsions, or hydrocarbons and water mixtures or emulsions</t>
  </si>
  <si>
    <t>Tarry residues arising from refining, distillation, and any pyrolytic treatment</t>
  </si>
  <si>
    <t>Sewage sludge and residues including nightsoil and septic tank sludge</t>
  </si>
  <si>
    <t>K130</t>
  </si>
  <si>
    <t>Material containing polychlorinated biphenyls (PCB's), polychlorinated napthalenes (PCN's), polychlorinated terphenyls (PCT's) and/or polybrominated biphenyls (PBB's)</t>
  </si>
  <si>
    <t>Organo halogen compounds—other than substances referred to in this Table</t>
  </si>
  <si>
    <t>Waste containers</t>
  </si>
  <si>
    <t>Pharmaceuticals, drugs and medicines</t>
  </si>
  <si>
    <t>Chemical waste arising from research and development or teaching activity, including new or unidentified material and material whose effects on human health or the environment are not known</t>
  </si>
  <si>
    <t>Adjusted Qld data</t>
  </si>
  <si>
    <r>
      <t xml:space="preserve">Blue Environment &amp; Randell Environmental Consulting (in press) </t>
    </r>
    <r>
      <rPr>
        <i/>
        <sz val="10"/>
        <color theme="1"/>
        <rFont val="Calibri"/>
        <family val="2"/>
        <scheme val="minor"/>
      </rPr>
      <t>Waste Generation and Resource Recovery in Australia</t>
    </r>
    <r>
      <rPr>
        <sz val="10"/>
        <color theme="1"/>
        <rFont val="Calibri"/>
        <family val="2"/>
        <scheme val="minor"/>
      </rPr>
      <t>, prepared for the Commonwealth Department of the Environment, available from: http://www.environment.gov.au/resource/waste-generation-and-resource-recovery-australia-report-and-data-workbooks</t>
    </r>
  </si>
  <si>
    <t>This worksheet translates data on Tasmanian prescribed wastes into Basel codes (via NEPM codes)</t>
  </si>
  <si>
    <t>TAS - Prescribed Wastes</t>
  </si>
  <si>
    <t>Animal effluent and residues (abattoir effluent, poultry and fish processing waste)</t>
  </si>
  <si>
    <t>Sewage sludge, sewage residue, nightsoil or sludge from an on-site waste water management system</t>
  </si>
  <si>
    <t>Wool scouring waste</t>
  </si>
  <si>
    <t>Waste substances and articles containing or contaminated with polychlorinated biphenyls (PCBs), polychlorinated naphthalenes (PCNs), polychlorinated terphenyls (PCTs) and/or polybrominated biphenyls (PBBs)</t>
  </si>
  <si>
    <t>Organohalogen compounds - other than substances referred to in this list</t>
  </si>
  <si>
    <t>Cyanides (organic)/nitriles</t>
  </si>
  <si>
    <t>Containers which are contaminated with residues of substances referred to in this list</t>
  </si>
  <si>
    <t>Fire debris and fire washwaters</t>
  </si>
  <si>
    <t>Fly ash excluding fly ash generated from Australian coal fired power stations</t>
  </si>
  <si>
    <t>Encapsulated, chemically-fixed, solidified or polymerised wastes (referred to in this list)</t>
  </si>
  <si>
    <t>Q</t>
  </si>
  <si>
    <t>A waste within the meaning of the Quarantine Regulations 2000 of the Commonwealth, as amended</t>
  </si>
  <si>
    <t>Q100</t>
  </si>
  <si>
    <t>Exhibits an environmentally significant characteristic and is derived or arises from an agvet chemical as defined in the Dangerous Substances (Safe Handling) Act 2005</t>
  </si>
  <si>
    <t>Q200</t>
  </si>
  <si>
    <t>Exhibits an environmentally significant characteristic and is derived or arises from dangerous goods as defined in the Dangerous Goods (Safe Transport) Act 1998</t>
  </si>
  <si>
    <t>Q300</t>
  </si>
  <si>
    <t>Exhibits an environmentally significant characteristic and is derived or arises from a poison as defined in the Poisons Act 1971</t>
  </si>
  <si>
    <t>Q400</t>
  </si>
  <si>
    <t>Exhibits an environmentally significant characteristic and is derived or arises from a scheduled waste within the meaning of a National Management Plan*</t>
  </si>
  <si>
    <t>Q500</t>
  </si>
  <si>
    <t>Waste chemical substances arising from research and development or teaching activities including those which are not identified and/or are new and whose effects on human health and/or the environment are not known.</t>
  </si>
  <si>
    <t>T190</t>
  </si>
  <si>
    <t>Oxidising Agents</t>
  </si>
  <si>
    <t>T210</t>
  </si>
  <si>
    <t>Reducing agents</t>
  </si>
  <si>
    <t>T220</t>
  </si>
  <si>
    <t>Adjusted Tas data</t>
  </si>
  <si>
    <t>Putrescible/ organics waste</t>
  </si>
  <si>
    <t>NT - controlled wastes (NEPM)</t>
  </si>
  <si>
    <t>This worksheet translates data on NT controlled wastes into Basel codes (via NEPM codes)</t>
  </si>
  <si>
    <t>Adjusted NT data</t>
  </si>
  <si>
    <t>This worksheet translates data on NSW trackable wastes into Basel codes (via NEPM codes)</t>
  </si>
  <si>
    <t>NSW trackable wastes (List 1 and List 2)</t>
  </si>
  <si>
    <t>Containers and drums that are contaminated with residues of substances referred to in this Table</t>
  </si>
  <si>
    <t>Adjusted NSW data</t>
  </si>
  <si>
    <t>Soils contaminated with a substance or waste referred to in this Table</t>
  </si>
  <si>
    <t>Jan-Jun</t>
  </si>
  <si>
    <t>Jul-Dec</t>
  </si>
  <si>
    <t>Total amount of hazardous wastes under Art. 1 (1)a (Annex I: Y1-Y45) generated</t>
  </si>
  <si>
    <t>This worksheet translates generation data on WA controlled wastes into Basel codes (via NEPM codes)</t>
  </si>
  <si>
    <t>Cell containing data</t>
  </si>
  <si>
    <t>Plating and Heat Treatment</t>
  </si>
  <si>
    <t>Waste from heat treatment and tempering processes which use cyanide</t>
  </si>
  <si>
    <t>Basic solution or bases in solid form</t>
  </si>
  <si>
    <t>Inorganic Chemicals</t>
  </si>
  <si>
    <t>Inorganic fluorine compounds (excluding calcium flouride)</t>
  </si>
  <si>
    <t>Mercury and mercury compounds</t>
  </si>
  <si>
    <t>Arsenic and arsenic compounds</t>
  </si>
  <si>
    <t>Chromium compounds</t>
  </si>
  <si>
    <t>Tannery wastes containing chromium</t>
  </si>
  <si>
    <t>Cadmium and cadmium compounds</t>
  </si>
  <si>
    <t>D151</t>
  </si>
  <si>
    <t>Used nickel cadmium batteries</t>
  </si>
  <si>
    <t>Beryllium and beryllium compounds</t>
  </si>
  <si>
    <t>Antimony and antimony compounds</t>
  </si>
  <si>
    <t>Thallium and thallium compounds</t>
  </si>
  <si>
    <t>D211</t>
  </si>
  <si>
    <t>Used nickel metal hydride batteries</t>
  </si>
  <si>
    <t>Lead and lead compounds</t>
  </si>
  <si>
    <t>D221</t>
  </si>
  <si>
    <t>Used lead acid batteries</t>
  </si>
  <si>
    <t>Selenium and selenium compounds</t>
  </si>
  <si>
    <t>Tellurium and tellurium compounds</t>
  </si>
  <si>
    <t>Barium and barium compounds</t>
  </si>
  <si>
    <t>Inorganic sulphides</t>
  </si>
  <si>
    <t>Phosphorous</t>
  </si>
  <si>
    <t>Reactive Chemicals</t>
  </si>
  <si>
    <t>Waste containing peroxides excluding hydrogen peroxide</t>
  </si>
  <si>
    <t>Waste of an explosive natures not subject to other legislation</t>
  </si>
  <si>
    <t>Highly reactive chemicals not otherwise specified</t>
  </si>
  <si>
    <t>Paints, Resins, Inks and Organic Sludge</t>
  </si>
  <si>
    <t>Aqueous based waste from the production, formulation and use of inks, dyes, pigments, paints, lacquers and varnish</t>
  </si>
  <si>
    <t>Aqueous based waste from the production, formulation and use of resins, latex, plasticisers, glues and adhesives</t>
  </si>
  <si>
    <t>Solvent based waste from the production, formulation and use of inks, dyes, pigments, paints, lacquers and varnish</t>
  </si>
  <si>
    <t>Solvent based waste from the production, formulation and use of resins, latex, plasticisers, glues and adhesives</t>
  </si>
  <si>
    <t>Organic Solvents</t>
  </si>
  <si>
    <t>Ethers and highly flammable hydrocarbons</t>
  </si>
  <si>
    <t>Non-halogenated organic solvents</t>
  </si>
  <si>
    <t>Dry cleaning waste containing perchlorothylene</t>
  </si>
  <si>
    <t>Halogenated organic solvents not otherwise specified</t>
  </si>
  <si>
    <t>Waste from production, use and formulation of organic solvents not otherwise specified</t>
  </si>
  <si>
    <t>Waste from production, formulation or use of biocides &amp; phytopharmaceuticals</t>
  </si>
  <si>
    <t>H130</t>
  </si>
  <si>
    <t>Waste wood preserving chemicals</t>
  </si>
  <si>
    <t>Oils and Emulsions</t>
  </si>
  <si>
    <t>Waste oils unfit for their intended purpose</t>
  </si>
  <si>
    <t>Waste oil and water mixtures or emulsions and hydrocarbon and water mixtures or emulsions</t>
  </si>
  <si>
    <t>Waste tarry residues arising from refining, distillation or pyrolytic treatment</t>
  </si>
  <si>
    <t>Used oil filters</t>
  </si>
  <si>
    <t>J180</t>
  </si>
  <si>
    <t>Oil sludge</t>
  </si>
  <si>
    <t>Putrescible and Organic Wastes</t>
  </si>
  <si>
    <t>Animal effluent and residues</t>
  </si>
  <si>
    <t>Waste from grease traps</t>
  </si>
  <si>
    <t>Sewage waste from reticulated sewerage system</t>
  </si>
  <si>
    <t>Tannery wastes not containing chromium</t>
  </si>
  <si>
    <t>Food and beverage processing waste</t>
  </si>
  <si>
    <t>K210</t>
  </si>
  <si>
    <t>Septage wastes</t>
  </si>
  <si>
    <t>Organic Chemicals</t>
  </si>
  <si>
    <t>Waste substances containing PCBs</t>
  </si>
  <si>
    <t>M105</t>
  </si>
  <si>
    <t>Waste containing PBB, PCN, PCT</t>
  </si>
  <si>
    <t>Non halogenated organic chemicals</t>
  </si>
  <si>
    <t>Phenols</t>
  </si>
  <si>
    <t>Organohalogen compounds not otherwise listed</t>
  </si>
  <si>
    <t>Polychlorinated dibenzo-furan</t>
  </si>
  <si>
    <t>Polychlorinated dibenzo-p-doxin</t>
  </si>
  <si>
    <t>Cyanides and nitriles</t>
  </si>
  <si>
    <t>Triethylamine catalysts</t>
  </si>
  <si>
    <t>Surfactants and detergents</t>
  </si>
  <si>
    <t>Highly odorous chemicals including mercaptans and acrylates</t>
  </si>
  <si>
    <t>Soils and Sludge</t>
  </si>
  <si>
    <t>Containers or drums contaminated with residues of controlled waste</t>
  </si>
  <si>
    <t>Fire debris and wash water</t>
  </si>
  <si>
    <t>Encapsulated, chemically fixed, solidified or polymerised controlled wastes</t>
  </si>
  <si>
    <t>Filter cake containing controlled waste</t>
  </si>
  <si>
    <t>Industrial waste treatment plant residues</t>
  </si>
  <si>
    <t>Ceramic based fibres similar to asbestos</t>
  </si>
  <si>
    <t>Cytotoxic waste</t>
  </si>
  <si>
    <t>Waste from production or prearation of pharmaceutical products</t>
  </si>
  <si>
    <t>Waste chemical substances arising from research and development or teaching activities</t>
  </si>
  <si>
    <t>Waste from production or formulation of photographic chemicals or processing materials</t>
  </si>
  <si>
    <t>Double/triple count</t>
  </si>
  <si>
    <t>Above</t>
  </si>
  <si>
    <t>✔</t>
  </si>
  <si>
    <t>✖</t>
  </si>
  <si>
    <t>(Blue outline)</t>
  </si>
  <si>
    <t>(Red shading)</t>
  </si>
  <si>
    <t>Population (middle of period):</t>
  </si>
  <si>
    <t>Key to data validation</t>
  </si>
  <si>
    <t>Key to data QA checks</t>
  </si>
  <si>
    <t xml:space="preserve">Gap data 2: Additional data used for filling gaps or replacing or completing jurisdictional data </t>
  </si>
  <si>
    <t>?</t>
  </si>
  <si>
    <t>Jurisdiction confirms the initial data that generate this figure</t>
  </si>
  <si>
    <t>Jurisdiction believes the data generating this figure is erroneous but cannot correct it</t>
  </si>
  <si>
    <t>Waste of an explosive nature not subject to other legislation, including azides</t>
  </si>
  <si>
    <t>For the stated waste type and six-monthly period, the quantity in grams per capita reported by the jurisdiction is:</t>
  </si>
  <si>
    <t>… greater than 1000x or less than 0.001x the other six-monthly period in this year</t>
  </si>
  <si>
    <t>The data the listed source is more comprehensive or accurate than data reported by any jurisdiction for this waste type</t>
  </si>
  <si>
    <t>NSW &amp; ACT</t>
  </si>
  <si>
    <t>WA &amp; NT</t>
  </si>
  <si>
    <t>Biosolids generated in Australia, 2013</t>
  </si>
  <si>
    <t>Total amount of hazardous wastes under Art. 1 (1)b generated</t>
  </si>
  <si>
    <t>Total amount of other wastes (Annex II: Y46 - Y47)</t>
  </si>
  <si>
    <t>Jurisdiction is unable to confirm the initial data that generated this figure</t>
  </si>
  <si>
    <t>Jurisdiction has provided corrected data in relation to this figure</t>
  </si>
  <si>
    <t>Key to other codes</t>
  </si>
  <si>
    <t>(blank)  … no data provided</t>
  </si>
  <si>
    <t>'15' code</t>
  </si>
  <si>
    <t>'75' code</t>
  </si>
  <si>
    <t>Other consultant adjustment made - details given in comment box</t>
  </si>
  <si>
    <t>Liquid food processing waste</t>
  </si>
  <si>
    <t>Data not mapped to NEPM or Basel codes</t>
  </si>
  <si>
    <t>i.e. Y-codes 1-45 + the eight additional hazardous waste codes</t>
  </si>
  <si>
    <t xml:space="preserve"> i.e. Y-codes 1-45</t>
  </si>
  <si>
    <t xml:space="preserve"> i.e. Y-codes 46 &amp; 47 (household wastes and incineration residues)</t>
  </si>
  <si>
    <t>Quality assurance checks - FOR ACTION BY THE STATES &amp; TERRITORIES</t>
  </si>
  <si>
    <t>ACT input to Australia's Basel Convention report 2014</t>
  </si>
  <si>
    <t>NSW input to Australia's Basel Convention report 2014</t>
  </si>
  <si>
    <t>NT input to Australia's Basel Convention report 2014</t>
  </si>
  <si>
    <t>QLD input to Australia's Basel Convention report 2014</t>
  </si>
  <si>
    <t>SA input to Australia's Basel Convention report 2014</t>
  </si>
  <si>
    <t>Tasmania input to Australia's Basel Convention report 2014</t>
  </si>
  <si>
    <t>VIC input to Australia's Basel Convention report 2014</t>
  </si>
  <si>
    <t>WA input to Australia's Basel Convention report 2014</t>
  </si>
  <si>
    <t>2014 data reported by the states &amp; territories, converted to grams per capita</t>
  </si>
  <si>
    <t>2013 annual data previously reported by states &amp; territories (g/capita, for automated comparison)</t>
  </si>
  <si>
    <r>
      <t xml:space="preserve">Australian Bureau of Statistics (2015) </t>
    </r>
    <r>
      <rPr>
        <i/>
        <sz val="10"/>
        <rFont val="Calibri"/>
        <family val="2"/>
        <scheme val="minor"/>
      </rPr>
      <t>3101.0 Australian Demographic Statistics, Dec 2015</t>
    </r>
    <r>
      <rPr>
        <sz val="10"/>
        <rFont val="Calibri"/>
        <family val="2"/>
        <scheme val="minor"/>
      </rPr>
      <t>, 25/6/15, TABLE 4. Estimated Resident Population, States and Territories (Number), available from: http://www.abs.gov.au/AUSSTATS/abs@.nsf/DetailsPage/3101.0Dec%202014?OpenDocument</t>
    </r>
  </si>
  <si>
    <t>Please provide from landfill data</t>
  </si>
  <si>
    <t>Bold red font</t>
  </si>
  <si>
    <t>Soils contaminated with a regulated waste</t>
  </si>
  <si>
    <t>Has the data been adjusted, to the extent practicable, to remove 'multiple counting'?</t>
  </si>
  <si>
    <t>Multiple counting correction factors</t>
  </si>
  <si>
    <t>For the states that run tracking systems (NSW, Qld, SA, Vic and WA) some multiple counting of waste occurs.</t>
  </si>
  <si>
    <t>Multiple counting is present in the submitted data unless the state has made corrective adjustments, and advises us by answering 'yes' to the question about at the top of their data entry tab (cell C4 for NSW, Qld, SA &amp; Vic; E4 for WA)</t>
  </si>
  <si>
    <t xml:space="preserve">Unless the answer to this question is 'yes', multiple counting can be effectively removed from these states by subtracting a proportion P of each waste type x calculated as follows: </t>
  </si>
  <si>
    <t xml:space="preserve">Assumption: </t>
  </si>
  <si>
    <t>End-of-life arisings by jurisdiction (approximate tonnes, 2013-14)</t>
  </si>
  <si>
    <t>Source</t>
  </si>
  <si>
    <r>
      <t xml:space="preserve">Table 2-9 of Hyder Consulting (2015) </t>
    </r>
    <r>
      <rPr>
        <i/>
        <sz val="10"/>
        <color theme="1"/>
        <rFont val="Calibri"/>
        <family val="2"/>
        <scheme val="minor"/>
      </rPr>
      <t>Stocks and Fate of End of Life Tyres - 2013-14 Study,</t>
    </r>
    <r>
      <rPr>
        <sz val="10"/>
        <color theme="1"/>
        <rFont val="Calibri"/>
        <family val="2"/>
        <scheme val="minor"/>
      </rPr>
      <t xml:space="preserve"> prepared for the National Environment Protection Council, available from: http://www.nepc.gov.au/resource/stocks-and-fate-end-life-tyres-2013-14-study</t>
    </r>
  </si>
  <si>
    <t>The waste generation rate in the two halves of 2014 was equal to the Hyder estimate for 2013-14</t>
  </si>
  <si>
    <t>Australian and New Zealand Biosolids Partnership, Biosolids Production and End Use in Australia, 2013, available from: http://www.biosolids.com.au/bs-australia.php</t>
  </si>
  <si>
    <t>Dry tonnes, 2013</t>
  </si>
  <si>
    <r>
      <t xml:space="preserve">2010 data used in </t>
    </r>
    <r>
      <rPr>
        <i/>
        <sz val="10"/>
        <color rgb="FFFF0000"/>
        <rFont val="Calibri"/>
        <family val="2"/>
        <scheme val="minor"/>
      </rPr>
      <t>Waste Generation and Resource Recovery in Australia 2010-11</t>
    </r>
    <r>
      <rPr>
        <sz val="10"/>
        <color rgb="FFFF0000"/>
        <rFont val="Calibri"/>
        <family val="2"/>
        <scheme val="minor"/>
      </rPr>
      <t xml:space="preserve"> are representative for deriving wet tonnes from dry and for splitting ACT/NSW and NT/WA.</t>
    </r>
  </si>
  <si>
    <t>Dry tonnes, 2010</t>
  </si>
  <si>
    <t>Wet tonnes, 2010</t>
  </si>
  <si>
    <r>
      <t xml:space="preserve">Blue Environment &amp; Randell Environmental Consulting (2014) </t>
    </r>
    <r>
      <rPr>
        <i/>
        <sz val="10"/>
        <color theme="1"/>
        <rFont val="Calibri"/>
        <family val="2"/>
        <scheme val="minor"/>
      </rPr>
      <t>Waste Generation and Resource Recovery in Australia,</t>
    </r>
    <r>
      <rPr>
        <sz val="10"/>
        <color theme="1"/>
        <rFont val="Calibri"/>
        <family val="2"/>
        <scheme val="minor"/>
      </rPr>
      <t xml:space="preserve"> prepared for the Commonwealth Department of the Environment, available from: http://www.environment.gov.au/resource/waste-generation-and-resource-recovery-australia-report-and-data-workbooks</t>
    </r>
  </si>
  <si>
    <t>Biosolids (N205b)</t>
  </si>
  <si>
    <t>End of life tyres (T140)</t>
  </si>
  <si>
    <r>
      <t>P</t>
    </r>
    <r>
      <rPr>
        <vertAlign val="subscript"/>
        <sz val="10"/>
        <color rgb="FFFF0000"/>
        <rFont val="Calibri"/>
        <family val="2"/>
        <scheme val="minor"/>
      </rPr>
      <t>x</t>
    </r>
    <r>
      <rPr>
        <sz val="10"/>
        <color rgb="FFFF0000"/>
        <rFont val="Calibri"/>
        <family val="2"/>
        <scheme val="minor"/>
      </rPr>
      <t xml:space="preserve"> = T</t>
    </r>
    <r>
      <rPr>
        <vertAlign val="subscript"/>
        <sz val="10"/>
        <color rgb="FFFF0000"/>
        <rFont val="Calibri"/>
        <family val="2"/>
        <scheme val="minor"/>
      </rPr>
      <t>x</t>
    </r>
    <r>
      <rPr>
        <sz val="10"/>
        <color rgb="FFFF0000"/>
        <rFont val="Calibri"/>
        <family val="2"/>
        <scheme val="minor"/>
      </rPr>
      <t xml:space="preserve"> / F</t>
    </r>
    <r>
      <rPr>
        <vertAlign val="subscript"/>
        <sz val="10"/>
        <color rgb="FFFF0000"/>
        <rFont val="Calibri"/>
        <family val="2"/>
        <scheme val="minor"/>
      </rPr>
      <t>x</t>
    </r>
  </si>
  <si>
    <t>the tonnes of waste type x allocated to treatment codes D12, R13 or R14 in Qld and Vic in 2012-13</t>
  </si>
  <si>
    <t>the tonnes of waste type x allocated to all other treatment codes in Qld and Vic in 2012-13</t>
  </si>
  <si>
    <t>Notes:</t>
  </si>
  <si>
    <t xml:space="preserve">Code R13 = </t>
  </si>
  <si>
    <t>Repackaging prior to any licensed operation</t>
  </si>
  <si>
    <t>Accumulation of material intended for any licensed operation</t>
  </si>
  <si>
    <t xml:space="preserve">Code D14 = </t>
  </si>
  <si>
    <t xml:space="preserve">Code R12 = </t>
  </si>
  <si>
    <t>Exchange of wastes for submission to any licensed operation</t>
  </si>
  <si>
    <t>Waste allocated to codes D12, R13 &amp; R14 can be characterised as 'transferred',  and likely to be included in the data as it enters the facility and again as it leaves</t>
  </si>
  <si>
    <r>
      <t xml:space="preserve">Allocation to these transfer codes was undertaken as part of the Commonwealth's </t>
    </r>
    <r>
      <rPr>
        <i/>
        <sz val="10"/>
        <color theme="1"/>
        <rFont val="Calibri"/>
        <family val="2"/>
        <scheme val="minor"/>
      </rPr>
      <t>Hazardous waste infrastructure and data project</t>
    </r>
    <r>
      <rPr>
        <sz val="10"/>
        <color theme="1"/>
        <rFont val="Calibri"/>
        <family val="2"/>
        <scheme val="minor"/>
      </rPr>
      <t>, and was possible only for Qld and Vic data.</t>
    </r>
  </si>
  <si>
    <t>NEPM code</t>
  </si>
  <si>
    <t>P</t>
  </si>
  <si>
    <t xml:space="preserve"> (P = the proportion of each waste type allocated to a 'transfer' treatment code)</t>
  </si>
  <si>
    <r>
      <t>where T</t>
    </r>
    <r>
      <rPr>
        <vertAlign val="subscript"/>
        <sz val="10"/>
        <color rgb="FFFF0000"/>
        <rFont val="Calibri"/>
        <family val="2"/>
        <scheme val="minor"/>
      </rPr>
      <t>x</t>
    </r>
    <r>
      <rPr>
        <sz val="10"/>
        <color rgb="FFFF0000"/>
        <rFont val="Calibri"/>
        <family val="2"/>
        <scheme val="minor"/>
      </rPr>
      <t xml:space="preserve"> = </t>
    </r>
  </si>
  <si>
    <r>
      <t xml:space="preserve"> F</t>
    </r>
    <r>
      <rPr>
        <vertAlign val="subscript"/>
        <sz val="10"/>
        <color rgb="FFFF0000"/>
        <rFont val="Calibri"/>
        <family val="2"/>
        <scheme val="minor"/>
      </rPr>
      <t>x</t>
    </r>
    <r>
      <rPr>
        <sz val="10"/>
        <color rgb="FFFF0000"/>
        <rFont val="Calibri"/>
        <family val="2"/>
        <scheme val="minor"/>
      </rPr>
      <t xml:space="preserve"> = </t>
    </r>
  </si>
  <si>
    <t>Hazardous waste imports and exports</t>
  </si>
  <si>
    <t>WA advice and comments to the Department of the Environment</t>
  </si>
  <si>
    <t>ACT advice and comments to the Department of the Environment</t>
  </si>
  <si>
    <t>NSW advice and comments to the Department of the Environment</t>
  </si>
  <si>
    <t>NT advice and comments to the Department of the Environment</t>
  </si>
  <si>
    <t>SA advice and comments to the Department of the Environment</t>
  </si>
  <si>
    <t>QLD advice and comments to the Department of the Environment</t>
  </si>
  <si>
    <t>TAS advice and comments to the Department of the Environment</t>
  </si>
  <si>
    <t>VIC advice and comments to the Department of the Environment</t>
  </si>
  <si>
    <t>National hazardous waste generation, 2014</t>
  </si>
  <si>
    <t>Adjusted jurisdictional data, 2014</t>
  </si>
  <si>
    <t>The waste generation rate in the two halves of 2014 was equal to the Biosolids Partnership estimate for 2013 multiplied by the proportional increase in population between 2013 and 2014</t>
  </si>
  <si>
    <t>Consultant estimate to be applied</t>
  </si>
  <si>
    <t>Data not collected - no estimate will be applied</t>
  </si>
  <si>
    <t>The workbook was developed by Blue Environment, supported by Randell Environmental Consulting and Ascend Waste and Environment. It is designed for jurisdictions to enter their own data, with automated translation into NEPM and Basel codes.</t>
  </si>
  <si>
    <t>(Green shading) … no validation is needed (alternative data source to be used OR not previously provided OR data not collected)</t>
  </si>
  <si>
    <t/>
  </si>
  <si>
    <t>2014 annual data (g/capita, for use validating data reported in 2015)</t>
  </si>
  <si>
    <t>g/capita/6-monthly period</t>
  </si>
  <si>
    <r>
      <t xml:space="preserve">Population-weighted Australian average quantities </t>
    </r>
    <r>
      <rPr>
        <sz val="12"/>
        <color theme="1"/>
        <rFont val="Calibri"/>
        <family val="2"/>
        <scheme val="minor"/>
      </rPr>
      <t>(based on jurisdictions reporting each waste type)</t>
    </r>
  </si>
  <si>
    <t>Mass data used to estimate this reporting year's waste quantities</t>
  </si>
  <si>
    <t>Contents:</t>
  </si>
  <si>
    <t>This worksheet undertakes automated QA checks on the jurisdictional data that has been translated into NEPM codes, and provides for validation of that data by the states &amp; territories. The checks are against the previous year's data, undertaken using Excel conditional formatting.</t>
  </si>
  <si>
    <t>Introduction to the Basel data workbook</t>
  </si>
  <si>
    <t>This workbook compiles, adjusts and totals the jurisdictional data underpinning Australia's Basel data report. It also compiles the jurisdictional data in NEPM codes. Data is collated in six-monthly units to enable compilation by financial year, as well as by calendar year as required for the Basel report.</t>
  </si>
  <si>
    <t>Instructions to users</t>
  </si>
  <si>
    <t>NEPM (Movement of Controlled Waste between States and Territories)</t>
  </si>
  <si>
    <t>Instructions to users (hyperlink)</t>
  </si>
  <si>
    <t>When you have finished entering your data, please validate it in the 'validation' worksheet</t>
  </si>
  <si>
    <t>Instructions for entering data</t>
  </si>
  <si>
    <t>Instructions for validating data</t>
  </si>
  <si>
    <t>For more information or queries</t>
  </si>
  <si>
    <t>… greater than 1000x or less than 0.001x the national annual average in the previous year</t>
  </si>
  <si>
    <t>… greater than 500x or less than 0.0005x the quantity generated in the jurisdiction in the previous year</t>
  </si>
  <si>
    <r>
      <t xml:space="preserve">Guidance on the use of this workbook is given in the most recent version of </t>
    </r>
    <r>
      <rPr>
        <i/>
        <sz val="12"/>
        <color theme="1"/>
        <rFont val="Calibri"/>
        <family val="2"/>
        <scheme val="minor"/>
      </rPr>
      <t>Reporting hazardous waste under the Basel Convention - guidance to states, territories and the Commonwealth</t>
    </r>
    <r>
      <rPr>
        <sz val="12"/>
        <color theme="1"/>
        <rFont val="Calibri"/>
        <family val="2"/>
        <scheme val="minor"/>
      </rPr>
      <t>, which document is supplied with this workbook.</t>
    </r>
  </si>
  <si>
    <r>
      <t>References</t>
    </r>
    <r>
      <rPr>
        <sz val="12"/>
        <color theme="1"/>
        <rFont val="Calibri"/>
        <family val="2"/>
        <scheme val="minor"/>
      </rPr>
      <t xml:space="preserve"> (hyperlinked)</t>
    </r>
  </si>
  <si>
    <t>For inquiries about this workbook, contact Joe Pickin on 0403 562 621 or joe.pickin@blueenvironment.com.au.</t>
  </si>
  <si>
    <t>When you have finished entering your data, click on the green tab titled 'Validation'.</t>
  </si>
  <si>
    <t>Please validate the data (with a tick) or select an alternative as shown in the key.</t>
  </si>
  <si>
    <t>Click on the green tab provided for your jurisdiction.</t>
  </si>
  <si>
    <t>In the yellow cells, enter the tonnes of each waste generated in your jurisdiction in each six-monthly block.</t>
  </si>
  <si>
    <t>You can provide advice and comments to the Australian Government in relation to your data at the foot of the data entry area.</t>
  </si>
  <si>
    <t>You can check how data is being translated by clicking 'Trace Dependents' in the Formulas menu.</t>
  </si>
  <si>
    <t>An automated QA check is undertaken for each datum through comparison in grams per capita with the other six-month figure for that waste type and Basel data submitted in the previous year. Conditional formatting identifies data that are significantly different from the compared figures, as shown in the key at the top of the worksheet.</t>
  </si>
  <si>
    <r>
      <t xml:space="preserve">For detailed guidance, see </t>
    </r>
    <r>
      <rPr>
        <i/>
        <sz val="12"/>
        <color theme="1"/>
        <rFont val="Calibri"/>
        <family val="2"/>
        <scheme val="minor"/>
      </rPr>
      <t>Reporting hazardous waste under the Basel Convention - guidance to states, territories and the Commonwealth.</t>
    </r>
  </si>
  <si>
    <t>For queries about this process, contact Paul Starr at the Department of the Environment on (02) 6274 1909 or paul.starr@environment.gov.au.</t>
  </si>
  <si>
    <t>2014 total</t>
  </si>
  <si>
    <t>2014 data reported by the states &amp; territories</t>
  </si>
  <si>
    <t>N100 amount is not in tonnes but the number of containers</t>
  </si>
  <si>
    <t>Category of waste</t>
  </si>
  <si>
    <r>
      <t xml:space="preserve">Hazardous characteristics </t>
    </r>
    <r>
      <rPr>
        <b/>
        <vertAlign val="superscript"/>
        <sz val="10"/>
        <rFont val="Arial"/>
        <family val="2"/>
      </rPr>
      <t>3</t>
    </r>
    <r>
      <rPr>
        <b/>
        <sz val="10"/>
        <rFont val="Arial"/>
        <family val="2"/>
      </rPr>
      <t xml:space="preserve">
(Annex III)</t>
    </r>
  </si>
  <si>
    <r>
      <t xml:space="preserve">Annexes I and II </t>
    </r>
    <r>
      <rPr>
        <b/>
        <vertAlign val="superscript"/>
        <sz val="10"/>
        <rFont val="Arial"/>
        <family val="2"/>
      </rPr>
      <t>1</t>
    </r>
    <r>
      <rPr>
        <b/>
        <sz val="10"/>
        <rFont val="Arial"/>
        <family val="2"/>
      </rPr>
      <t xml:space="preserve"> </t>
    </r>
  </si>
  <si>
    <r>
      <t xml:space="preserve">Annex
 VIII </t>
    </r>
    <r>
      <rPr>
        <b/>
        <vertAlign val="superscript"/>
        <sz val="10"/>
        <rFont val="Arial"/>
        <family val="2"/>
      </rPr>
      <t>3</t>
    </r>
    <r>
      <rPr>
        <b/>
        <sz val="10"/>
        <rFont val="Arial"/>
        <family val="2"/>
      </rPr>
      <t xml:space="preserve"> </t>
    </r>
  </si>
  <si>
    <r>
      <t xml:space="preserve">UN 
class </t>
    </r>
    <r>
      <rPr>
        <b/>
        <vertAlign val="superscript"/>
        <sz val="10"/>
        <rFont val="Arial"/>
        <family val="2"/>
      </rPr>
      <t>3</t>
    </r>
    <r>
      <rPr>
        <b/>
        <sz val="10"/>
        <rFont val="Arial"/>
        <family val="2"/>
      </rPr>
      <t xml:space="preserve"> </t>
    </r>
  </si>
  <si>
    <r>
      <t xml:space="preserve">H' 
code </t>
    </r>
    <r>
      <rPr>
        <b/>
        <vertAlign val="superscript"/>
        <sz val="10"/>
        <rFont val="Arial"/>
        <family val="2"/>
      </rPr>
      <t>3</t>
    </r>
    <r>
      <rPr>
        <b/>
        <sz val="10"/>
        <rFont val="Arial"/>
        <family val="2"/>
      </rPr>
      <t xml:space="preserve"> </t>
    </r>
  </si>
  <si>
    <r>
      <t xml:space="preserve">Characteristics </t>
    </r>
    <r>
      <rPr>
        <b/>
        <vertAlign val="superscript"/>
        <sz val="10"/>
        <rFont val="Arial"/>
        <family val="2"/>
      </rPr>
      <t>3</t>
    </r>
    <r>
      <rPr>
        <b/>
        <sz val="10"/>
        <rFont val="Arial"/>
        <family val="2"/>
      </rPr>
      <t xml:space="preserve"> </t>
    </r>
  </si>
  <si>
    <t>Amount exported (metric tons)</t>
  </si>
  <si>
    <r>
      <t>Country/countries of transit</t>
    </r>
    <r>
      <rPr>
        <b/>
        <vertAlign val="superscript"/>
        <sz val="10"/>
        <rFont val="Arial"/>
        <family val="2"/>
      </rPr>
      <t>4</t>
    </r>
  </si>
  <si>
    <r>
      <t>Country of destination</t>
    </r>
    <r>
      <rPr>
        <b/>
        <vertAlign val="superscript"/>
        <sz val="10"/>
        <rFont val="Arial"/>
        <family val="2"/>
      </rPr>
      <t>4</t>
    </r>
  </si>
  <si>
    <t>Final disposal operation (Annex IV A) D code</t>
  </si>
  <si>
    <t>Recovery operation (Annex IV B) R code</t>
  </si>
  <si>
    <t xml:space="preserve">Y code
</t>
  </si>
  <si>
    <r>
      <t xml:space="preserve">Waste Streams/ 
wastes having as 
constituents </t>
    </r>
    <r>
      <rPr>
        <b/>
        <vertAlign val="superscript"/>
        <sz val="10"/>
        <rFont val="Arial"/>
        <family val="2"/>
      </rPr>
      <t>2</t>
    </r>
    <r>
      <rPr>
        <b/>
        <sz val="10"/>
        <rFont val="Arial"/>
        <family val="2"/>
      </rPr>
      <t xml:space="preserve"> </t>
    </r>
  </si>
  <si>
    <t>Lead waste recovered from ULABs</t>
  </si>
  <si>
    <t>A1020</t>
  </si>
  <si>
    <t>11, 12</t>
  </si>
  <si>
    <t>N/A</t>
  </si>
  <si>
    <t>Republic of Korea</t>
  </si>
  <si>
    <t>R4</t>
  </si>
  <si>
    <t>Spent catalyst</t>
  </si>
  <si>
    <t>A2030</t>
  </si>
  <si>
    <t>New Zealand, Panama, the Bahamas</t>
  </si>
  <si>
    <t xml:space="preserve">United States  </t>
  </si>
  <si>
    <t>R8</t>
  </si>
  <si>
    <t>NiCad, NiMh and Li-ion batteries</t>
  </si>
  <si>
    <t>A1170</t>
  </si>
  <si>
    <t>4.2, 12</t>
  </si>
  <si>
    <t>Singapore, Malaysia, Egypt, Germany, The Netherlands</t>
  </si>
  <si>
    <t xml:space="preserve">Belgium </t>
  </si>
  <si>
    <t>Singapore, Malaysia, Egypt, Germany, Belgium</t>
  </si>
  <si>
    <t xml:space="preserve">Netherlands </t>
  </si>
  <si>
    <t xml:space="preserve">Waste dry cell alkaline and zinc carbon batteries </t>
  </si>
  <si>
    <t>11, 12, 13</t>
  </si>
  <si>
    <t>Singapore, Malaysia, India, Sri Lanka, Egypt and Malta</t>
  </si>
  <si>
    <t xml:space="preserve">Spain </t>
  </si>
  <si>
    <t>Singapore, Germany</t>
  </si>
  <si>
    <t>Poland</t>
  </si>
  <si>
    <t xml:space="preserve">Used Nickel Cadmium (Ni-Cad) batteries </t>
  </si>
  <si>
    <t>6.1, 8, 11</t>
  </si>
  <si>
    <t>Platinum based pharmaceuticals</t>
  </si>
  <si>
    <t>A1030</t>
  </si>
  <si>
    <t>6.1, 11, 12</t>
  </si>
  <si>
    <t>Hong Kong</t>
  </si>
  <si>
    <t xml:space="preserve">Germany </t>
  </si>
  <si>
    <t xml:space="preserve">Used lead acid batteries </t>
  </si>
  <si>
    <t>A1160</t>
  </si>
  <si>
    <t>41, 42</t>
  </si>
  <si>
    <t>Lithium ion batteries</t>
  </si>
  <si>
    <t>1, 8</t>
  </si>
  <si>
    <t>New Zealand, Panama, Jamaica, the United States of America, the United Kingdom, and The Netherlands</t>
  </si>
  <si>
    <t>Lead waste and scrap from used lead acid batteries</t>
  </si>
  <si>
    <t>22, 31</t>
  </si>
  <si>
    <t>Printed circuit boards</t>
  </si>
  <si>
    <t>A1180</t>
  </si>
  <si>
    <t>6.1, 9</t>
  </si>
  <si>
    <t>6.1, 11, 12, 13</t>
  </si>
  <si>
    <t>22, 23</t>
  </si>
  <si>
    <t xml:space="preserve">Singapore, Malaysia, Egypt, France, Germany and The Netherlands </t>
  </si>
  <si>
    <t>Leaded glass cullet from cathode ray tubes</t>
  </si>
  <si>
    <t>A2010</t>
  </si>
  <si>
    <t>26, 35</t>
  </si>
  <si>
    <t>Waste batteries</t>
  </si>
  <si>
    <t>8, 9</t>
  </si>
  <si>
    <t>8, 11, 12, 13</t>
  </si>
  <si>
    <t>Cathode ray tubes</t>
  </si>
  <si>
    <t>Singapore</t>
  </si>
  <si>
    <t>22, 23, 29</t>
  </si>
  <si>
    <t>Spent puraspec absorbent containing copper and zinc compounds contaminated with mercury sulfide and hydrocarbons</t>
  </si>
  <si>
    <t>Singapore, Malaysia, Sri Lanka, Oman, Egypt, Portugal, Great Britain, France, Germany, Belgium, The Netherlands</t>
  </si>
  <si>
    <t>Switzerland</t>
  </si>
  <si>
    <t>Cathode ray tube glass</t>
  </si>
  <si>
    <t>Leaded glass cullet from waste cathode ray tubes</t>
  </si>
  <si>
    <t>31, 22</t>
  </si>
  <si>
    <t>Total</t>
  </si>
  <si>
    <t>1  Crucial to fill in the Y code or, if none is applicable, the waste streams/wastes having as constituents.
2  Not required to fill in, if you have provided the Y-code.
3  Optional to fill in.
4  Use ISO codes as in the attached list.</t>
  </si>
  <si>
    <t>Export of hazardous wastes and other wastes in 2014</t>
  </si>
  <si>
    <t>Amount imported (metric tons)</t>
  </si>
  <si>
    <r>
      <t>Country of origin</t>
    </r>
    <r>
      <rPr>
        <b/>
        <vertAlign val="superscript"/>
        <sz val="10"/>
        <rFont val="Arial"/>
        <family val="2"/>
      </rPr>
      <t>4</t>
    </r>
  </si>
  <si>
    <t>46, 8, 9, 31, 34, 47</t>
  </si>
  <si>
    <t>Mixed wastes</t>
  </si>
  <si>
    <t>Various</t>
  </si>
  <si>
    <t>9, 3</t>
  </si>
  <si>
    <t>12, 13, 8, 11, 3</t>
  </si>
  <si>
    <t>French Antarctic Territory</t>
  </si>
  <si>
    <t>D1</t>
  </si>
  <si>
    <t>R1, R9, R3, R4, R5</t>
  </si>
  <si>
    <t>Oil filters</t>
  </si>
  <si>
    <t>A3020</t>
  </si>
  <si>
    <t xml:space="preserve">Papua New Guinea </t>
  </si>
  <si>
    <t>R13, R9, R4</t>
  </si>
  <si>
    <t>Oxidisers</t>
  </si>
  <si>
    <t>A4140</t>
  </si>
  <si>
    <t>D9</t>
  </si>
  <si>
    <t>Waste paint</t>
  </si>
  <si>
    <t>R1</t>
  </si>
  <si>
    <t>A4090</t>
  </si>
  <si>
    <t>Bases</t>
  </si>
  <si>
    <t>Organic Phosphorus compounds</t>
  </si>
  <si>
    <t>A3130</t>
  </si>
  <si>
    <t>R13, R1</t>
  </si>
  <si>
    <t>31, 34</t>
  </si>
  <si>
    <t>R13, R4</t>
  </si>
  <si>
    <t>Resins</t>
  </si>
  <si>
    <t>A3050</t>
  </si>
  <si>
    <t xml:space="preserve">Paint waste </t>
  </si>
  <si>
    <t>A4070</t>
  </si>
  <si>
    <t xml:space="preserve">Clinical and related waste </t>
  </si>
  <si>
    <t>A4020</t>
  </si>
  <si>
    <t xml:space="preserve">New Zealand  </t>
  </si>
  <si>
    <t>D10</t>
  </si>
  <si>
    <t xml:space="preserve">Non-halogenated organic solvents </t>
  </si>
  <si>
    <t>A3140</t>
  </si>
  <si>
    <t xml:space="preserve">Crushed waste fluorescent tubes </t>
  </si>
  <si>
    <t xml:space="preserve">Clinical waste </t>
  </si>
  <si>
    <t>26, 29, 31, 45</t>
  </si>
  <si>
    <t xml:space="preserve">Mixed electronic waste </t>
  </si>
  <si>
    <t>New Zealand</t>
  </si>
  <si>
    <t xml:space="preserve">Mixture of waste oil and water  </t>
  </si>
  <si>
    <t>A4060</t>
  </si>
  <si>
    <t>R3</t>
  </si>
  <si>
    <t xml:space="preserve">Waste containing isocyanates </t>
  </si>
  <si>
    <t>A4050</t>
  </si>
  <si>
    <t>D1, D9</t>
  </si>
  <si>
    <t>R13</t>
  </si>
  <si>
    <t>36, 42</t>
  </si>
  <si>
    <t>Condemned acetylene gas cylinders</t>
  </si>
  <si>
    <t>A4130</t>
  </si>
  <si>
    <t>D14</t>
  </si>
  <si>
    <t>Import of hazardous wastes and other wastes in 2014</t>
  </si>
  <si>
    <t>Data on permitted exports and imports is provided below in the form used for submission to the Basel Secretariat.</t>
  </si>
  <si>
    <t>Data has been compliled from interstate waste transport certificates as a majority of NT hazardous/controlled/listed generated waste is sent interstate.
Data for waste handled wholly within the NT has not been included as there is no tracking system in place and licence holders only report a total volume of waste handled (collect, transport, store, treat, recycle, dispose) over a 12 month period based on the anniversary date of the licence being issued. The NT is unable to breakdown this amount to determine only waste generated nor accurately compile data for a Jan - Dec calendar year as the 12 month reporting period is different for each individual licence.
Annual Return volumes submitted between 28/1/14 - 1/9/15 can be supplied separately if required.</t>
  </si>
  <si>
    <t>Waste tracking data is provided in kilograms, litres and cubic metres. To provide common metrics for the report,  1,000 Litres and 1 Cubic Metre is converted to 1 Tonne.  This is consistent with previous year’s reports and other data reports generated by the team (e.g. for State of Waste and State of Environment)</t>
  </si>
  <si>
    <t>Due to the manual nature of collecting waste tracking data please allow for up to 5% data error rate within this dataset.  This is consistent with previous years.</t>
  </si>
  <si>
    <t>D230 has generated mostly by one producer - it appears they have ceased producing that waste or is  moving interstate - under further investigation</t>
  </si>
  <si>
    <t>Wastes marked as 'Accumulated prior to a licensed operation' or 'Storage' as the immediate fate are excluded to remain consistent with data trends previously used.</t>
  </si>
  <si>
    <t>Renex has received waste under a commisioning approval (not a licence), however, for all intents and purposes this waste should only arise once even though the certificates are marked accumulation. Any waste received by this facility has been included in the figures.</t>
  </si>
  <si>
    <t>M260 has very small quantities there was less than 500kg generated and has rounded down</t>
  </si>
  <si>
    <t>2013 total</t>
  </si>
  <si>
    <t>Check if:</t>
  </si>
  <si>
    <t>and:</t>
  </si>
  <si>
    <t>Quantity &gt;</t>
  </si>
  <si>
    <t>Change</t>
  </si>
  <si>
    <t>Change &gt;</t>
  </si>
  <si>
    <t>tonnes</t>
  </si>
  <si>
    <t>Cause</t>
  </si>
  <si>
    <t>Yes</t>
  </si>
  <si>
    <t>Large volume in Vic in the second half of 2014</t>
  </si>
  <si>
    <t>Very large increase for Tas (from 10 to 146kt); significant increases in NSW &amp; SA</t>
  </si>
  <si>
    <t>Large increase in NSW</t>
  </si>
  <si>
    <t>New process deducts assumed 40% multiple-count for N100 from NSW, Qld, SA, WA</t>
  </si>
  <si>
    <t>Check?</t>
  </si>
  <si>
    <t xml:space="preserve">Blue Environment note: correction made. Assumed mass per container (kg) = </t>
  </si>
  <si>
    <t>(consistent with Hazardous waste infrastructure &amp; data project)</t>
  </si>
  <si>
    <t>Large increases in Vic &amp; NSW</t>
  </si>
  <si>
    <t>2014 data, final version, October 2015</t>
  </si>
  <si>
    <t>Cautions in relation to asbestos and contaminated soil</t>
  </si>
  <si>
    <t>·         This data is self-reported by landfills and is not audited at the material level.</t>
  </si>
  <si>
    <t>·         Data has been rounded to the nearest 100 tonnes.</t>
  </si>
  <si>
    <t>·         Any load of waste with asbestos contamination will all be classified as asbestos waste, therefore asbestos waste may include significant proportions of other Construction and demolition waste.</t>
  </si>
  <si>
    <t>·         Contaminated soil  may include soil contaminated with physical particles not suitable for re-use but not necessarily chemical contaminants. It may also be classified as contaminated soil as opposed to clean soil or VENM for reporting purposes but still suitable as general solid waste (not restricted or hazardous waste) for disposal purposes.</t>
  </si>
  <si>
    <t>Multiple count adjustment total</t>
  </si>
</sst>
</file>

<file path=xl/styles.xml><?xml version="1.0" encoding="utf-8"?>
<styleSheet xmlns="http://schemas.openxmlformats.org/spreadsheetml/2006/main">
  <numFmts count="4">
    <numFmt numFmtId="164" formatCode="_ * #,##0_ ;_ * \-#,##0_ ;_ * &quot;-&quot;_ ;_ @_ "/>
    <numFmt numFmtId="165" formatCode="#,##0.000"/>
    <numFmt numFmtId="166" formatCode="_ * #,##0.00_ ;_ * \-#,##0.00_ ;_ * &quot;-&quot;??_ ;_ @_ "/>
    <numFmt numFmtId="167" formatCode="0.000"/>
  </numFmts>
  <fonts count="119">
    <font>
      <sz val="11"/>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indexed="8"/>
      <name val="Calibri"/>
      <family val="2"/>
    </font>
    <font>
      <b/>
      <sz val="11"/>
      <color indexed="9"/>
      <name val="Calibri"/>
      <family val="2"/>
    </font>
    <font>
      <b/>
      <sz val="10"/>
      <color indexed="9"/>
      <name val="Calibri"/>
      <family val="2"/>
    </font>
    <font>
      <b/>
      <sz val="10"/>
      <name val="Calibri"/>
      <family val="2"/>
    </font>
    <font>
      <b/>
      <sz val="10"/>
      <color indexed="8"/>
      <name val="Calibri"/>
      <family val="2"/>
    </font>
    <font>
      <sz val="10"/>
      <name val="Arial"/>
      <family val="2"/>
    </font>
    <font>
      <sz val="10"/>
      <name val="Arial"/>
      <family val="2"/>
    </font>
    <font>
      <sz val="10"/>
      <color indexed="9"/>
      <name val="Calibri"/>
      <family val="2"/>
    </font>
    <font>
      <sz val="16"/>
      <color indexed="8"/>
      <name val="Calibri"/>
      <family val="2"/>
    </font>
    <font>
      <b/>
      <sz val="16"/>
      <color indexed="9"/>
      <name val="Calibri"/>
      <family val="2"/>
    </font>
    <font>
      <sz val="16"/>
      <color indexed="9"/>
      <name val="Calibri"/>
      <family val="2"/>
    </font>
    <font>
      <b/>
      <sz val="16"/>
      <name val="Calibri"/>
      <family val="2"/>
    </font>
    <font>
      <b/>
      <sz val="14"/>
      <color indexed="9"/>
      <name val="Calibri"/>
      <family val="2"/>
    </font>
    <font>
      <b/>
      <sz val="14"/>
      <name val="Calibri"/>
      <family val="2"/>
    </font>
    <font>
      <u/>
      <sz val="10"/>
      <color indexed="12"/>
      <name val="Calibri"/>
      <family val="2"/>
    </font>
    <font>
      <sz val="8"/>
      <name val="Calibri"/>
      <family val="2"/>
    </font>
    <font>
      <u/>
      <sz val="11"/>
      <color rgb="FF0000FF"/>
      <name val="Calibri"/>
      <family val="2"/>
      <scheme val="minor"/>
    </font>
    <font>
      <u/>
      <sz val="11"/>
      <color theme="10"/>
      <name val="Calibri"/>
      <family val="2"/>
      <scheme val="minor"/>
    </font>
    <font>
      <b/>
      <sz val="10"/>
      <color theme="0"/>
      <name val="Calibri"/>
      <family val="2"/>
      <scheme val="minor"/>
    </font>
    <font>
      <b/>
      <sz val="10"/>
      <color theme="1"/>
      <name val="Calibri"/>
      <family val="2"/>
      <scheme val="minor"/>
    </font>
    <font>
      <sz val="10"/>
      <color theme="0"/>
      <name val="Calibri"/>
      <family val="2"/>
      <scheme val="minor"/>
    </font>
    <font>
      <sz val="10"/>
      <name val="Calibri"/>
      <family val="2"/>
      <scheme val="minor"/>
    </font>
    <font>
      <b/>
      <sz val="16"/>
      <name val="Calibri"/>
      <family val="2"/>
      <scheme val="minor"/>
    </font>
    <font>
      <sz val="16"/>
      <color theme="1"/>
      <name val="Calibri"/>
      <family val="2"/>
      <scheme val="minor"/>
    </font>
    <font>
      <sz val="16"/>
      <color theme="0"/>
      <name val="Calibri"/>
      <family val="2"/>
      <scheme val="minor"/>
    </font>
    <font>
      <sz val="12"/>
      <color theme="1"/>
      <name val="Calibri"/>
      <family val="2"/>
      <scheme val="minor"/>
    </font>
    <font>
      <b/>
      <sz val="14"/>
      <name val="Calibri"/>
      <family val="2"/>
      <scheme val="minor"/>
    </font>
    <font>
      <u/>
      <sz val="10"/>
      <color theme="10"/>
      <name val="Calibri"/>
      <family val="2"/>
      <scheme val="minor"/>
    </font>
    <font>
      <sz val="11"/>
      <name val="Calibri"/>
      <family val="2"/>
      <scheme val="minor"/>
    </font>
    <font>
      <b/>
      <sz val="14"/>
      <color theme="0"/>
      <name val="Calibri"/>
      <family val="2"/>
      <scheme val="minor"/>
    </font>
    <font>
      <b/>
      <sz val="10"/>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sz val="10"/>
      <color indexed="8"/>
      <name val="Calibri"/>
      <family val="2"/>
      <scheme val="minor"/>
    </font>
    <font>
      <sz val="9"/>
      <color indexed="81"/>
      <name val="Tahoma"/>
      <family val="2"/>
    </font>
    <font>
      <b/>
      <sz val="9"/>
      <color indexed="81"/>
      <name val="Tahoma"/>
      <family val="2"/>
    </font>
    <font>
      <b/>
      <sz val="12"/>
      <color theme="1"/>
      <name val="Calibri"/>
      <family val="2"/>
      <scheme val="minor"/>
    </font>
    <font>
      <sz val="10"/>
      <color rgb="FF00B050"/>
      <name val="Calibri"/>
      <family val="2"/>
      <scheme val="minor"/>
    </font>
    <font>
      <i/>
      <sz val="10"/>
      <color theme="1"/>
      <name val="Calibri"/>
      <family val="2"/>
      <scheme val="minor"/>
    </font>
    <font>
      <b/>
      <sz val="16"/>
      <color theme="0"/>
      <name val="Calibri"/>
      <family val="2"/>
      <scheme val="minor"/>
    </font>
    <font>
      <b/>
      <i/>
      <sz val="10"/>
      <color indexed="8"/>
      <name val="Calibri"/>
      <family val="2"/>
    </font>
    <font>
      <b/>
      <sz val="12"/>
      <color theme="0"/>
      <name val="Calibri"/>
      <family val="2"/>
      <scheme val="minor"/>
    </font>
    <font>
      <sz val="9"/>
      <name val="Calibri"/>
      <family val="2"/>
      <scheme val="minor"/>
    </font>
    <font>
      <sz val="10"/>
      <color rgb="FFFF0000"/>
      <name val="Calibri"/>
      <family val="2"/>
      <scheme val="minor"/>
    </font>
    <font>
      <b/>
      <sz val="10"/>
      <color theme="0"/>
      <name val="Calibri"/>
      <family val="2"/>
    </font>
    <font>
      <b/>
      <sz val="11"/>
      <color theme="0"/>
      <name val="Calibri"/>
      <family val="2"/>
      <scheme val="minor"/>
    </font>
    <font>
      <sz val="10"/>
      <color rgb="FF333333"/>
      <name val="Calibri"/>
      <family val="2"/>
      <scheme val="minor"/>
    </font>
    <font>
      <sz val="10"/>
      <name val="Calibri"/>
      <family val="2"/>
    </font>
    <font>
      <b/>
      <sz val="12"/>
      <name val="Calibri"/>
      <family val="2"/>
      <scheme val="minor"/>
    </font>
    <font>
      <sz val="11"/>
      <color theme="1"/>
      <name val="Calibri"/>
      <family val="2"/>
      <scheme val="minor"/>
    </font>
    <font>
      <u/>
      <sz val="7.7"/>
      <color rgb="FF0000FF"/>
      <name val="Calibri"/>
      <family val="2"/>
    </font>
    <font>
      <u/>
      <sz val="11"/>
      <color theme="10"/>
      <name val="Calibri"/>
      <family val="2"/>
    </font>
    <font>
      <sz val="10"/>
      <color theme="0" tint="-0.499984740745262"/>
      <name val="Calibri"/>
      <family val="2"/>
      <scheme val="minor"/>
    </font>
    <font>
      <sz val="10"/>
      <color theme="0" tint="-0.499984740745262"/>
      <name val="Calibri"/>
      <family val="2"/>
    </font>
    <font>
      <i/>
      <sz val="10"/>
      <name val="Calibri"/>
      <family val="2"/>
      <scheme val="minor"/>
    </font>
    <font>
      <b/>
      <i/>
      <sz val="14"/>
      <color theme="1"/>
      <name val="Calibri"/>
      <family val="2"/>
      <scheme val="minor"/>
    </font>
    <font>
      <b/>
      <sz val="18"/>
      <name val="Calibri"/>
      <family val="2"/>
      <scheme val="minor"/>
    </font>
    <font>
      <b/>
      <sz val="18"/>
      <color theme="0"/>
      <name val="Calibri"/>
      <family val="2"/>
      <scheme val="minor"/>
    </font>
    <font>
      <b/>
      <sz val="10"/>
      <color rgb="FFFF0000"/>
      <name val="Calibri"/>
      <family val="2"/>
      <scheme val="minor"/>
    </font>
    <font>
      <vertAlign val="subscript"/>
      <sz val="10"/>
      <color rgb="FFFF0000"/>
      <name val="Calibri"/>
      <family val="2"/>
      <scheme val="minor"/>
    </font>
    <font>
      <i/>
      <sz val="10"/>
      <color rgb="FFFF0000"/>
      <name val="Calibri"/>
      <family val="2"/>
      <scheme val="minor"/>
    </font>
    <font>
      <b/>
      <sz val="11"/>
      <color indexed="8"/>
      <name val="Calibri"/>
      <family val="2"/>
      <scheme val="minor"/>
    </font>
    <font>
      <b/>
      <sz val="10"/>
      <color indexed="8"/>
      <name val="Calibri"/>
      <family val="2"/>
      <scheme val="minor"/>
    </font>
    <font>
      <sz val="11"/>
      <color theme="1"/>
      <name val="Calibri"/>
      <family val="2"/>
    </font>
    <font>
      <sz val="10"/>
      <color theme="1"/>
      <name val="Calibri"/>
      <family val="2"/>
    </font>
    <font>
      <b/>
      <sz val="11"/>
      <color theme="1"/>
      <name val="Calibri"/>
      <family val="2"/>
    </font>
    <font>
      <sz val="10"/>
      <color theme="0"/>
      <name val="Calibri"/>
      <family val="2"/>
    </font>
    <font>
      <b/>
      <sz val="14"/>
      <color theme="0"/>
      <name val="Calibri"/>
      <family val="2"/>
    </font>
    <font>
      <sz val="14"/>
      <color theme="1"/>
      <name val="Calibri"/>
      <family val="2"/>
      <scheme val="minor"/>
    </font>
    <font>
      <i/>
      <sz val="9"/>
      <color indexed="81"/>
      <name val="Tahoma"/>
      <family val="2"/>
    </font>
    <font>
      <i/>
      <sz val="12"/>
      <color theme="1"/>
      <name val="Calibri"/>
      <family val="2"/>
      <scheme val="minor"/>
    </font>
    <font>
      <u/>
      <sz val="12"/>
      <color theme="10"/>
      <name val="Calibri"/>
      <family val="2"/>
      <scheme val="minor"/>
    </font>
    <font>
      <b/>
      <sz val="10"/>
      <name val="Arial"/>
      <family val="2"/>
    </font>
    <font>
      <b/>
      <vertAlign val="superscript"/>
      <sz val="10"/>
      <name val="Arial"/>
      <family val="2"/>
    </font>
    <font>
      <sz val="10"/>
      <color theme="1"/>
      <name val="Arial"/>
      <family val="2"/>
    </font>
    <font>
      <sz val="10"/>
      <color rgb="FF000000"/>
      <name val="Arial"/>
      <family val="2"/>
    </font>
    <font>
      <sz val="8"/>
      <name val="Arial"/>
      <family val="2"/>
    </font>
    <font>
      <sz val="11"/>
      <color theme="0"/>
      <name val="Calibri"/>
      <family val="2"/>
      <scheme val="minor"/>
    </font>
    <font>
      <i/>
      <sz val="10"/>
      <color theme="1"/>
      <name val="Calibri"/>
      <family val="2"/>
    </font>
    <font>
      <sz val="11"/>
      <color theme="0" tint="-0.499984740745262"/>
      <name val="Calibri"/>
      <family val="2"/>
      <scheme val="minor"/>
    </font>
  </fonts>
  <fills count="35">
    <fill>
      <patternFill patternType="none"/>
    </fill>
    <fill>
      <patternFill patternType="gray125"/>
    </fill>
    <fill>
      <patternFill patternType="solid">
        <fgColor indexed="13"/>
        <bgColor indexed="64"/>
      </patternFill>
    </fill>
    <fill>
      <patternFill patternType="solid">
        <fgColor indexed="8"/>
        <bgColor indexed="64"/>
      </patternFill>
    </fill>
    <fill>
      <patternFill patternType="solid">
        <fgColor indexed="41"/>
        <bgColor indexed="64"/>
      </patternFill>
    </fill>
    <fill>
      <patternFill patternType="solid">
        <fgColor indexed="27"/>
        <bgColor indexed="64"/>
      </patternFill>
    </fill>
    <fill>
      <patternFill patternType="solid">
        <fgColor indexed="22"/>
        <bgColor indexed="64"/>
      </patternFill>
    </fill>
    <fill>
      <patternFill patternType="solid">
        <fgColor indexed="1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theme="0" tint="-0.14996795556505021"/>
        <bgColor indexed="64"/>
      </patternFill>
    </fill>
    <fill>
      <patternFill patternType="solid">
        <fgColor theme="1"/>
        <bgColor indexed="64"/>
      </patternFill>
    </fill>
    <fill>
      <patternFill patternType="solid">
        <fgColor rgb="FFCCFFFF"/>
        <bgColor indexed="64"/>
      </patternFill>
    </fill>
    <fill>
      <patternFill patternType="solid">
        <fgColor rgb="FFFFCC99"/>
        <bgColor indexed="64"/>
      </patternFill>
    </fill>
    <fill>
      <patternFill patternType="solid">
        <fgColor theme="0" tint="-0.34998626667073579"/>
        <bgColor indexed="64"/>
      </patternFill>
    </fill>
    <fill>
      <patternFill patternType="solid">
        <fgColor theme="0"/>
        <bgColor indexed="64"/>
      </patternFill>
    </fill>
    <fill>
      <patternFill patternType="solid">
        <fgColor rgb="FFFF0000"/>
        <bgColor indexed="64"/>
      </patternFill>
    </fill>
    <fill>
      <patternFill patternType="solid">
        <fgColor rgb="FFFFFFCC"/>
        <bgColor indexed="64"/>
      </patternFill>
    </fill>
    <fill>
      <patternFill patternType="solid">
        <fgColor rgb="FFFF7C80"/>
        <bgColor indexed="64"/>
      </patternFill>
    </fill>
    <fill>
      <patternFill patternType="solid">
        <fgColor theme="3"/>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5" tint="-0.249977111117893"/>
        <bgColor indexed="64"/>
      </patternFill>
    </fill>
    <fill>
      <patternFill patternType="solid">
        <fgColor theme="3" tint="0.59999389629810485"/>
        <bgColor indexed="64"/>
      </patternFill>
    </fill>
    <fill>
      <patternFill patternType="solid">
        <fgColor rgb="FF00B050"/>
        <bgColor indexed="64"/>
      </patternFill>
    </fill>
    <fill>
      <patternFill patternType="solid">
        <fgColor rgb="FFFFC000"/>
        <bgColor indexed="64"/>
      </patternFill>
    </fill>
    <fill>
      <patternFill patternType="solid">
        <fgColor rgb="FF00B0F0"/>
        <bgColor indexed="64"/>
      </patternFill>
    </fill>
    <fill>
      <patternFill patternType="solid">
        <fgColor theme="8" tint="0.59999389629810485"/>
        <bgColor indexed="64"/>
      </patternFill>
    </fill>
    <fill>
      <patternFill patternType="solid">
        <fgColor rgb="FFFFCC66"/>
        <bgColor indexed="64"/>
      </patternFill>
    </fill>
    <fill>
      <patternFill patternType="solid">
        <fgColor rgb="FFFF9933"/>
        <bgColor indexed="64"/>
      </patternFill>
    </fill>
    <fill>
      <patternFill patternType="solid">
        <fgColor rgb="FFFF3300"/>
        <bgColor indexed="64"/>
      </patternFill>
    </fill>
    <fill>
      <patternFill patternType="solid">
        <fgColor theme="0" tint="-0.249977111117893"/>
        <bgColor indexed="64"/>
      </patternFill>
    </fill>
    <fill>
      <patternFill patternType="solid">
        <fgColor indexed="55"/>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8"/>
      </left>
      <right style="thin">
        <color indexed="64"/>
      </right>
      <top style="thin">
        <color indexed="8"/>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8"/>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8"/>
      </top>
      <bottom/>
      <diagonal/>
    </border>
    <border>
      <left style="thin">
        <color rgb="FFFF0000"/>
      </left>
      <right style="thin">
        <color rgb="FFFF0000"/>
      </right>
      <top style="thin">
        <color rgb="FFFF0000"/>
      </top>
      <bottom style="thin">
        <color rgb="FFFF0000"/>
      </bottom>
      <diagonal/>
    </border>
    <border>
      <left style="thin">
        <color indexed="64"/>
      </left>
      <right style="thin">
        <color indexed="64"/>
      </right>
      <top style="thin">
        <color indexed="8"/>
      </top>
      <bottom/>
      <diagonal/>
    </border>
    <border>
      <left style="thin">
        <color indexed="8"/>
      </left>
      <right style="thin">
        <color indexed="64"/>
      </right>
      <top style="thin">
        <color indexed="64"/>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style="thin">
        <color indexed="8"/>
      </bottom>
      <diagonal/>
    </border>
    <border>
      <left/>
      <right/>
      <top style="thin">
        <color indexed="8"/>
      </top>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8"/>
      </left>
      <right style="thin">
        <color indexed="64"/>
      </right>
      <top/>
      <bottom style="thin">
        <color indexed="64"/>
      </bottom>
      <diagonal/>
    </border>
    <border>
      <left/>
      <right/>
      <top style="thin">
        <color rgb="FFFF0000"/>
      </top>
      <bottom style="thin">
        <color rgb="FFFF0000"/>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auto="1"/>
      </left>
      <right style="thin">
        <color auto="1"/>
      </right>
      <top/>
      <bottom style="thin">
        <color auto="1"/>
      </bottom>
      <diagonal/>
    </border>
    <border>
      <left style="thin">
        <color rgb="FF0000FF"/>
      </left>
      <right style="thin">
        <color rgb="FF0000FF"/>
      </right>
      <top style="thin">
        <color rgb="FF0000FF"/>
      </top>
      <bottom style="thin">
        <color rgb="FF0000FF"/>
      </bottom>
      <diagonal/>
    </border>
    <border>
      <left style="thin">
        <color theme="1"/>
      </left>
      <right style="thin">
        <color rgb="FF0000FF"/>
      </right>
      <top/>
      <bottom style="thin">
        <color theme="1"/>
      </bottom>
      <diagonal/>
    </border>
    <border>
      <left style="thin">
        <color rgb="FF0000FF"/>
      </left>
      <right/>
      <top/>
      <bottom style="thin">
        <color theme="1"/>
      </bottom>
      <diagonal/>
    </border>
    <border>
      <left/>
      <right/>
      <top/>
      <bottom style="thin">
        <color theme="1"/>
      </bottom>
      <diagonal/>
    </border>
    <border>
      <left/>
      <right style="thin">
        <color indexed="64"/>
      </right>
      <top/>
      <bottom style="thin">
        <color theme="1"/>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8"/>
      </right>
      <top style="thin">
        <color indexed="64"/>
      </top>
      <bottom/>
      <diagonal/>
    </border>
    <border>
      <left/>
      <right style="thin">
        <color indexed="8"/>
      </right>
      <top/>
      <bottom/>
      <diagonal/>
    </border>
    <border>
      <left/>
      <right style="thin">
        <color indexed="8"/>
      </right>
      <top/>
      <bottom style="thin">
        <color indexed="8"/>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right style="thin">
        <color indexed="64"/>
      </right>
      <top style="medium">
        <color auto="1"/>
      </top>
      <bottom style="thin">
        <color indexed="64"/>
      </bottom>
      <diagonal/>
    </border>
    <border>
      <left style="medium">
        <color auto="1"/>
      </left>
      <right style="thin">
        <color indexed="64"/>
      </right>
      <top style="thin">
        <color indexed="64"/>
      </top>
      <bottom style="medium">
        <color auto="1"/>
      </bottom>
      <diagonal/>
    </border>
    <border>
      <left/>
      <right style="medium">
        <color auto="1"/>
      </right>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rgb="FFFF0000"/>
      </left>
      <right style="thin">
        <color rgb="FFFF0000"/>
      </right>
      <top style="thin">
        <color rgb="FFFF0000"/>
      </top>
      <bottom/>
      <diagonal/>
    </border>
    <border>
      <left style="thin">
        <color rgb="FFFF0000"/>
      </left>
      <right style="thin">
        <color rgb="FFFF0000"/>
      </right>
      <top/>
      <bottom style="thin">
        <color rgb="FFFF0000"/>
      </bottom>
      <diagonal/>
    </border>
    <border>
      <left/>
      <right style="thin">
        <color indexed="64"/>
      </right>
      <top/>
      <bottom style="thin">
        <color indexed="64"/>
      </bottom>
      <diagonal/>
    </border>
  </borders>
  <cellStyleXfs count="17">
    <xf numFmtId="0" fontId="0" fillId="0" borderId="0"/>
    <xf numFmtId="164" fontId="44" fillId="0" borderId="0" applyFon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43" fillId="0" borderId="0"/>
    <xf numFmtId="164" fontId="43" fillId="0" borderId="0" applyFont="0" applyFill="0" applyBorder="0" applyAlignment="0" applyProtection="0"/>
    <xf numFmtId="0" fontId="88" fillId="0" borderId="0"/>
    <xf numFmtId="0" fontId="43" fillId="0" borderId="0"/>
    <xf numFmtId="0" fontId="43" fillId="0" borderId="0"/>
    <xf numFmtId="0" fontId="89" fillId="0" borderId="0" applyNumberFormat="0" applyFill="0" applyBorder="0" applyAlignment="0" applyProtection="0">
      <alignment vertical="top"/>
      <protection locked="0"/>
    </xf>
    <xf numFmtId="166" fontId="43" fillId="0" borderId="0" applyFont="0" applyFill="0" applyBorder="0" applyAlignment="0" applyProtection="0"/>
    <xf numFmtId="0" fontId="55" fillId="0" borderId="0" applyNumberFormat="0" applyFill="0" applyBorder="0" applyAlignment="0" applyProtection="0"/>
    <xf numFmtId="0" fontId="43" fillId="0" borderId="0"/>
    <xf numFmtId="0" fontId="88" fillId="0" borderId="0"/>
    <xf numFmtId="0" fontId="43" fillId="0" borderId="0"/>
    <xf numFmtId="0" fontId="90" fillId="0" borderId="0" applyNumberFormat="0" applyFill="0" applyBorder="0" applyAlignment="0" applyProtection="0">
      <alignment vertical="top"/>
      <protection locked="0"/>
    </xf>
    <xf numFmtId="9" fontId="88" fillId="0" borderId="0" applyFont="0" applyFill="0" applyBorder="0" applyAlignment="0" applyProtection="0"/>
  </cellStyleXfs>
  <cellXfs count="1086">
    <xf numFmtId="0" fontId="0" fillId="0" borderId="0" xfId="0"/>
    <xf numFmtId="0" fontId="57" fillId="9" borderId="0" xfId="0" applyFont="1" applyFill="1" applyAlignment="1">
      <alignment horizontal="left" vertical="center"/>
    </xf>
    <xf numFmtId="0" fontId="58" fillId="9" borderId="0" xfId="0" applyFont="1" applyFill="1" applyBorder="1" applyAlignment="1">
      <alignment vertical="center"/>
    </xf>
    <xf numFmtId="0" fontId="57" fillId="9" borderId="0" xfId="0" applyFont="1" applyFill="1" applyAlignment="1">
      <alignment vertical="center"/>
    </xf>
    <xf numFmtId="0" fontId="37" fillId="9" borderId="0" xfId="0" applyFont="1" applyFill="1"/>
    <xf numFmtId="0" fontId="62" fillId="13" borderId="0" xfId="0" applyFont="1" applyFill="1" applyBorder="1" applyAlignment="1">
      <alignment vertical="center"/>
    </xf>
    <xf numFmtId="0" fontId="56" fillId="13" borderId="0" xfId="0" applyFont="1" applyFill="1" applyBorder="1" applyAlignment="1">
      <alignment vertical="center" wrapText="1"/>
    </xf>
    <xf numFmtId="0" fontId="78" fillId="13" borderId="0" xfId="0" applyFont="1" applyFill="1"/>
    <xf numFmtId="0" fontId="35" fillId="9" borderId="0" xfId="0" applyFont="1" applyFill="1" applyAlignment="1">
      <alignment vertical="center"/>
    </xf>
    <xf numFmtId="0" fontId="35" fillId="9" borderId="0" xfId="0" applyFont="1" applyFill="1" applyAlignment="1">
      <alignment horizontal="center" vertical="center"/>
    </xf>
    <xf numFmtId="0" fontId="0" fillId="22" borderId="0" xfId="0" applyFill="1"/>
    <xf numFmtId="0" fontId="0" fillId="22" borderId="0" xfId="0" applyFill="1" applyAlignment="1">
      <alignment wrapText="1"/>
    </xf>
    <xf numFmtId="0" fontId="78" fillId="13" borderId="0" xfId="0" applyFont="1" applyFill="1" applyBorder="1" applyAlignment="1">
      <alignment vertical="center" wrapText="1"/>
    </xf>
    <xf numFmtId="0" fontId="62" fillId="22" borderId="0" xfId="0" applyFont="1" applyFill="1" applyBorder="1" applyAlignment="1">
      <alignment vertical="center"/>
    </xf>
    <xf numFmtId="0" fontId="56" fillId="22" borderId="0" xfId="0" applyFont="1" applyFill="1" applyBorder="1" applyAlignment="1">
      <alignment horizontal="center" vertical="center" wrapText="1"/>
    </xf>
    <xf numFmtId="0" fontId="56" fillId="22" borderId="0" xfId="0" applyFont="1" applyFill="1" applyBorder="1" applyAlignment="1">
      <alignment vertical="center" wrapText="1"/>
    </xf>
    <xf numFmtId="0" fontId="78" fillId="22" borderId="0" xfId="4" applyFont="1" applyFill="1" applyBorder="1" applyAlignment="1">
      <alignment horizontal="center" vertical="center" wrapText="1"/>
    </xf>
    <xf numFmtId="0" fontId="56" fillId="13" borderId="0" xfId="0" applyFont="1" applyFill="1" applyBorder="1" applyAlignment="1">
      <alignment horizontal="center" vertical="center" wrapText="1"/>
    </xf>
    <xf numFmtId="0" fontId="107" fillId="22" borderId="0" xfId="0" applyFont="1" applyFill="1" applyAlignment="1">
      <alignment wrapText="1"/>
    </xf>
    <xf numFmtId="0" fontId="109" fillId="22" borderId="0" xfId="0" applyFont="1" applyFill="1" applyAlignment="1">
      <alignment horizontal="right" wrapText="1"/>
    </xf>
    <xf numFmtId="0" fontId="63" fillId="22" borderId="0" xfId="0" applyFont="1" applyFill="1"/>
    <xf numFmtId="0" fontId="63" fillId="22" borderId="0" xfId="0" applyFont="1" applyFill="1" applyAlignment="1">
      <alignment wrapText="1"/>
    </xf>
    <xf numFmtId="0" fontId="75" fillId="22" borderId="0" xfId="0" applyFont="1" applyFill="1" applyAlignment="1">
      <alignment wrapText="1"/>
    </xf>
    <xf numFmtId="0" fontId="109" fillId="22" borderId="0" xfId="0" applyFont="1" applyFill="1" applyAlignment="1">
      <alignment wrapText="1"/>
    </xf>
    <xf numFmtId="0" fontId="63" fillId="22" borderId="0" xfId="0" applyFont="1" applyFill="1" applyAlignment="1">
      <alignment horizontal="left" wrapText="1" indent="2"/>
    </xf>
    <xf numFmtId="0" fontId="63" fillId="22" borderId="0" xfId="0" applyFont="1" applyFill="1" applyAlignment="1">
      <alignment horizontal="left" wrapText="1" indent="4"/>
    </xf>
    <xf numFmtId="0" fontId="109" fillId="22" borderId="0" xfId="0" applyFont="1" applyFill="1" applyAlignment="1">
      <alignment horizontal="left" wrapText="1"/>
    </xf>
    <xf numFmtId="0" fontId="75" fillId="22" borderId="0" xfId="0" applyFont="1" applyFill="1" applyAlignment="1">
      <alignment vertical="center"/>
    </xf>
    <xf numFmtId="0" fontId="110" fillId="22" borderId="0" xfId="3" applyFont="1" applyFill="1" applyAlignment="1">
      <alignment vertical="center"/>
    </xf>
    <xf numFmtId="3" fontId="59" fillId="0" borderId="1" xfId="4" applyNumberFormat="1" applyFont="1" applyFill="1" applyBorder="1" applyAlignment="1" applyProtection="1">
      <alignment horizontal="right" vertical="center" wrapText="1"/>
    </xf>
    <xf numFmtId="3" fontId="68" fillId="14" borderId="5" xfId="4" applyNumberFormat="1" applyFont="1" applyFill="1" applyBorder="1" applyAlignment="1" applyProtection="1">
      <alignment horizontal="right" vertical="center" wrapText="1"/>
    </xf>
    <xf numFmtId="3" fontId="68" fillId="14" borderId="6" xfId="4" applyNumberFormat="1" applyFont="1" applyFill="1" applyBorder="1" applyAlignment="1" applyProtection="1">
      <alignment horizontal="right" vertical="center" wrapText="1"/>
    </xf>
    <xf numFmtId="3" fontId="9" fillId="11" borderId="1" xfId="0" applyNumberFormat="1" applyFont="1" applyFill="1" applyBorder="1" applyAlignment="1" applyProtection="1">
      <alignment horizontal="right" vertical="center"/>
    </xf>
    <xf numFmtId="3" fontId="68" fillId="14" borderId="5" xfId="0" applyNumberFormat="1" applyFont="1" applyFill="1" applyBorder="1" applyAlignment="1" applyProtection="1">
      <alignment horizontal="right" vertical="center" wrapText="1"/>
    </xf>
    <xf numFmtId="3" fontId="68" fillId="14" borderId="6" xfId="0" applyNumberFormat="1" applyFont="1" applyFill="1" applyBorder="1" applyAlignment="1" applyProtection="1">
      <alignment horizontal="right" vertical="center" wrapText="1"/>
    </xf>
    <xf numFmtId="3" fontId="9" fillId="0" borderId="1" xfId="0" applyNumberFormat="1" applyFont="1" applyFill="1" applyBorder="1" applyAlignment="1" applyProtection="1">
      <alignment horizontal="right" vertical="center"/>
    </xf>
    <xf numFmtId="3" fontId="59" fillId="10" borderId="1" xfId="0" applyNumberFormat="1" applyFont="1" applyFill="1" applyBorder="1" applyAlignment="1" applyProtection="1">
      <alignment horizontal="right" vertical="center"/>
      <protection locked="0"/>
    </xf>
    <xf numFmtId="3" fontId="59" fillId="11" borderId="1" xfId="0" applyNumberFormat="1" applyFont="1" applyFill="1" applyBorder="1" applyAlignment="1" applyProtection="1">
      <alignment horizontal="right" vertical="center"/>
      <protection locked="0"/>
    </xf>
    <xf numFmtId="0" fontId="37" fillId="0" borderId="8" xfId="0" applyFont="1" applyFill="1" applyBorder="1" applyAlignment="1" applyProtection="1">
      <alignment wrapText="1"/>
      <protection locked="0"/>
    </xf>
    <xf numFmtId="0" fontId="37" fillId="0" borderId="8" xfId="0" applyFont="1" applyFill="1" applyBorder="1" applyAlignment="1" applyProtection="1">
      <alignment horizontal="right" wrapText="1"/>
      <protection locked="0"/>
    </xf>
    <xf numFmtId="0" fontId="37" fillId="0" borderId="35" xfId="0" applyFont="1" applyFill="1" applyBorder="1" applyAlignment="1" applyProtection="1">
      <alignment wrapText="1"/>
      <protection locked="0"/>
    </xf>
    <xf numFmtId="0" fontId="60" fillId="8" borderId="0" xfId="0" applyFont="1" applyFill="1" applyProtection="1"/>
    <xf numFmtId="0" fontId="61" fillId="8" borderId="0" xfId="0" applyFont="1" applyFill="1" applyBorder="1" applyAlignment="1" applyProtection="1">
      <alignment vertical="center"/>
    </xf>
    <xf numFmtId="0" fontId="62" fillId="8" borderId="0" xfId="0" applyFont="1" applyFill="1" applyBorder="1" applyAlignment="1" applyProtection="1">
      <alignment vertical="center"/>
    </xf>
    <xf numFmtId="0" fontId="56" fillId="8" borderId="0" xfId="0" applyFont="1" applyFill="1" applyBorder="1" applyAlignment="1" applyProtection="1">
      <alignment horizontal="center" vertical="center" wrapText="1"/>
    </xf>
    <xf numFmtId="0" fontId="56" fillId="8" borderId="0" xfId="0" applyFont="1" applyFill="1" applyBorder="1" applyAlignment="1" applyProtection="1">
      <alignment vertical="center" wrapText="1"/>
    </xf>
    <xf numFmtId="0" fontId="60" fillId="8" borderId="0" xfId="4" applyFont="1" applyFill="1" applyBorder="1" applyAlignment="1" applyProtection="1">
      <alignment horizontal="center" vertical="center" wrapText="1"/>
    </xf>
    <xf numFmtId="0" fontId="0" fillId="9" borderId="0" xfId="0" applyFont="1" applyFill="1" applyAlignment="1" applyProtection="1">
      <alignment vertical="center"/>
    </xf>
    <xf numFmtId="0" fontId="37" fillId="9" borderId="0" xfId="0" applyFont="1" applyFill="1" applyAlignment="1" applyProtection="1">
      <alignment vertical="center"/>
    </xf>
    <xf numFmtId="0" fontId="42" fillId="9" borderId="0" xfId="0" applyFont="1" applyFill="1" applyAlignment="1" applyProtection="1">
      <alignment horizontal="right" vertical="center"/>
    </xf>
    <xf numFmtId="0" fontId="38" fillId="10" borderId="1" xfId="0" applyFont="1" applyFill="1" applyBorder="1" applyAlignment="1" applyProtection="1">
      <alignment horizontal="center" vertical="center"/>
    </xf>
    <xf numFmtId="0" fontId="38" fillId="9" borderId="0" xfId="0" applyFont="1" applyFill="1" applyAlignment="1" applyProtection="1">
      <alignment horizontal="left" vertical="center"/>
    </xf>
    <xf numFmtId="0" fontId="24" fillId="12" borderId="0" xfId="0" applyFont="1" applyFill="1" applyAlignment="1" applyProtection="1">
      <alignment vertical="center"/>
    </xf>
    <xf numFmtId="0" fontId="58" fillId="9" borderId="0" xfId="0" applyFont="1" applyFill="1" applyBorder="1" applyAlignment="1" applyProtection="1">
      <alignment vertical="center"/>
    </xf>
    <xf numFmtId="0" fontId="37" fillId="9" borderId="0" xfId="0" applyFont="1" applyFill="1" applyAlignment="1" applyProtection="1">
      <alignment horizontal="center" vertical="center"/>
    </xf>
    <xf numFmtId="0" fontId="57" fillId="9" borderId="0" xfId="0" applyFont="1" applyFill="1" applyAlignment="1" applyProtection="1">
      <alignment horizontal="left" vertical="center"/>
    </xf>
    <xf numFmtId="0" fontId="57" fillId="9" borderId="0" xfId="0" applyFont="1" applyFill="1" applyAlignment="1" applyProtection="1">
      <alignment vertical="center"/>
    </xf>
    <xf numFmtId="0" fontId="68" fillId="9" borderId="0" xfId="0" applyFont="1" applyFill="1" applyAlignment="1" applyProtection="1">
      <alignment vertical="center"/>
    </xf>
    <xf numFmtId="0" fontId="35" fillId="9" borderId="0" xfId="0" applyFont="1" applyFill="1" applyAlignment="1" applyProtection="1">
      <alignment vertical="center"/>
    </xf>
    <xf numFmtId="0" fontId="38" fillId="19" borderId="1" xfId="0" applyFont="1" applyFill="1" applyBorder="1" applyAlignment="1" applyProtection="1">
      <alignment horizontal="center" vertical="center"/>
    </xf>
    <xf numFmtId="0" fontId="35" fillId="9" borderId="0" xfId="0" applyFont="1" applyFill="1" applyAlignment="1" applyProtection="1">
      <alignment horizontal="center" vertical="center"/>
    </xf>
    <xf numFmtId="0" fontId="55" fillId="9" borderId="0" xfId="3" applyFill="1" applyAlignment="1" applyProtection="1">
      <alignment vertical="center"/>
    </xf>
    <xf numFmtId="0" fontId="38" fillId="11" borderId="1" xfId="0" applyFont="1" applyFill="1" applyBorder="1" applyAlignment="1" applyProtection="1">
      <alignment vertical="center"/>
    </xf>
    <xf numFmtId="0" fontId="65" fillId="9" borderId="0" xfId="3" applyFont="1" applyFill="1" applyAlignment="1" applyProtection="1">
      <alignment vertical="center"/>
    </xf>
    <xf numFmtId="0" fontId="24" fillId="12" borderId="0" xfId="0" applyFont="1" applyFill="1" applyAlignment="1" applyProtection="1">
      <alignment horizontal="center" vertical="top"/>
    </xf>
    <xf numFmtId="0" fontId="64" fillId="8" borderId="17" xfId="0" applyFont="1" applyFill="1" applyBorder="1" applyProtection="1"/>
    <xf numFmtId="0" fontId="59" fillId="8" borderId="17" xfId="0" applyFont="1" applyFill="1" applyBorder="1" applyProtection="1"/>
    <xf numFmtId="0" fontId="59" fillId="8" borderId="16" xfId="0" applyFont="1" applyFill="1" applyBorder="1" applyProtection="1"/>
    <xf numFmtId="0" fontId="59" fillId="9" borderId="8" xfId="0" applyFont="1" applyFill="1" applyBorder="1" applyProtection="1"/>
    <xf numFmtId="0" fontId="37" fillId="9" borderId="0" xfId="0" applyFont="1" applyFill="1" applyProtection="1"/>
    <xf numFmtId="0" fontId="41" fillId="8" borderId="2" xfId="0" applyFont="1" applyFill="1" applyBorder="1" applyAlignment="1" applyProtection="1">
      <alignment horizontal="center" vertical="center"/>
    </xf>
    <xf numFmtId="0" fontId="41" fillId="8" borderId="2" xfId="0" applyFont="1" applyFill="1" applyBorder="1" applyAlignment="1" applyProtection="1">
      <alignment horizontal="left" vertical="center"/>
    </xf>
    <xf numFmtId="0" fontId="41" fillId="8" borderId="10" xfId="0" applyFont="1" applyFill="1" applyBorder="1" applyAlignment="1" applyProtection="1">
      <alignment horizontal="center" vertical="center"/>
    </xf>
    <xf numFmtId="0" fontId="68" fillId="8" borderId="2" xfId="0" applyFont="1" applyFill="1" applyBorder="1" applyAlignment="1" applyProtection="1">
      <alignment horizontal="center" vertical="center" wrapText="1"/>
    </xf>
    <xf numFmtId="0" fontId="41" fillId="9" borderId="8" xfId="0" applyFont="1" applyFill="1" applyBorder="1" applyAlignment="1" applyProtection="1">
      <alignment horizontal="center" vertical="center" wrapText="1"/>
    </xf>
    <xf numFmtId="0" fontId="56" fillId="13" borderId="2" xfId="0" quotePrefix="1" applyFont="1" applyFill="1" applyBorder="1" applyAlignment="1" applyProtection="1">
      <alignment horizontal="center" vertical="top" wrapText="1"/>
    </xf>
    <xf numFmtId="0" fontId="56" fillId="13" borderId="2" xfId="0" applyFont="1" applyFill="1" applyBorder="1" applyAlignment="1" applyProtection="1">
      <alignment vertical="center" wrapText="1"/>
    </xf>
    <xf numFmtId="0" fontId="56" fillId="13" borderId="2" xfId="0" quotePrefix="1" applyFont="1" applyFill="1" applyBorder="1" applyAlignment="1" applyProtection="1">
      <alignment horizontal="center" vertical="center" wrapText="1"/>
    </xf>
    <xf numFmtId="0" fontId="56" fillId="13" borderId="2" xfId="0" applyFont="1" applyFill="1" applyBorder="1" applyAlignment="1" applyProtection="1">
      <alignment horizontal="center" vertical="center" wrapText="1"/>
    </xf>
    <xf numFmtId="0" fontId="68" fillId="4" borderId="2" xfId="4" applyFont="1" applyFill="1" applyBorder="1" applyAlignment="1" applyProtection="1">
      <alignment horizontal="center" vertical="center" wrapText="1"/>
    </xf>
    <xf numFmtId="0" fontId="68" fillId="4" borderId="2" xfId="4" applyFont="1" applyFill="1" applyBorder="1" applyAlignment="1" applyProtection="1">
      <alignment horizontal="left" vertical="center" wrapText="1"/>
    </xf>
    <xf numFmtId="0" fontId="68" fillId="14" borderId="2" xfId="0" applyFont="1" applyFill="1" applyBorder="1" applyAlignment="1" applyProtection="1">
      <alignment horizontal="center" vertical="center" wrapText="1"/>
    </xf>
    <xf numFmtId="0" fontId="37" fillId="0" borderId="1" xfId="0" applyFont="1" applyFill="1" applyBorder="1" applyAlignment="1" applyProtection="1">
      <alignment horizontal="left" vertical="top"/>
    </xf>
    <xf numFmtId="0" fontId="37" fillId="0" borderId="1" xfId="0" applyFont="1" applyFill="1" applyBorder="1" applyAlignment="1" applyProtection="1">
      <alignment horizontal="center" vertical="center"/>
    </xf>
    <xf numFmtId="0" fontId="57" fillId="9" borderId="8" xfId="0" applyFont="1" applyFill="1" applyBorder="1" applyAlignment="1" applyProtection="1">
      <alignment horizontal="center" vertical="center"/>
    </xf>
    <xf numFmtId="3" fontId="37" fillId="0" borderId="1" xfId="0" applyNumberFormat="1" applyFont="1" applyFill="1" applyBorder="1" applyAlignment="1" applyProtection="1">
      <alignment horizontal="right" vertical="center"/>
    </xf>
    <xf numFmtId="0" fontId="68" fillId="0" borderId="1" xfId="4" applyFont="1" applyFill="1" applyBorder="1" applyAlignment="1" applyProtection="1">
      <alignment horizontal="center" vertical="center" wrapText="1"/>
    </xf>
    <xf numFmtId="0" fontId="59" fillId="0" borderId="1" xfId="4" applyFont="1" applyFill="1" applyBorder="1" applyAlignment="1" applyProtection="1">
      <alignment vertical="top"/>
    </xf>
    <xf numFmtId="3" fontId="72" fillId="0" borderId="1" xfId="0" applyNumberFormat="1" applyFont="1" applyFill="1" applyBorder="1" applyAlignment="1" applyProtection="1">
      <alignment horizontal="right" vertical="center"/>
    </xf>
    <xf numFmtId="0" fontId="37" fillId="0" borderId="1" xfId="0" applyFont="1" applyFill="1" applyBorder="1" applyAlignment="1" applyProtection="1">
      <alignment horizontal="center" vertical="top"/>
    </xf>
    <xf numFmtId="0" fontId="24" fillId="0" borderId="1" xfId="0" applyFont="1" applyFill="1" applyBorder="1" applyAlignment="1" applyProtection="1">
      <alignment horizontal="center" vertical="top"/>
    </xf>
    <xf numFmtId="0" fontId="24" fillId="0" borderId="1" xfId="0" applyFont="1" applyFill="1" applyBorder="1" applyAlignment="1" applyProtection="1">
      <alignment horizontal="left" vertical="top" wrapText="1"/>
    </xf>
    <xf numFmtId="0" fontId="37" fillId="0" borderId="2" xfId="0" applyFont="1" applyFill="1" applyBorder="1" applyAlignment="1" applyProtection="1">
      <alignment horizontal="center" vertical="top"/>
    </xf>
    <xf numFmtId="0" fontId="68" fillId="14" borderId="3" xfId="4" applyFont="1" applyFill="1" applyBorder="1" applyAlignment="1" applyProtection="1">
      <alignment vertical="center" wrapText="1"/>
    </xf>
    <xf numFmtId="0" fontId="68" fillId="4" borderId="4" xfId="4" applyFont="1" applyFill="1" applyBorder="1" applyAlignment="1" applyProtection="1">
      <alignment horizontal="left" vertical="center"/>
    </xf>
    <xf numFmtId="0" fontId="68" fillId="14" borderId="5" xfId="4" applyNumberFormat="1" applyFont="1" applyFill="1" applyBorder="1" applyAlignment="1" applyProtection="1">
      <alignment horizontal="center" vertical="center" wrapText="1"/>
    </xf>
    <xf numFmtId="0" fontId="68" fillId="14" borderId="6" xfId="4" applyNumberFormat="1" applyFont="1" applyFill="1" applyBorder="1" applyAlignment="1" applyProtection="1">
      <alignment horizontal="center" vertical="center" wrapText="1"/>
    </xf>
    <xf numFmtId="0" fontId="37" fillId="0" borderId="7" xfId="0" applyFont="1" applyFill="1" applyBorder="1" applyAlignment="1" applyProtection="1">
      <alignment horizontal="center" vertical="top"/>
    </xf>
    <xf numFmtId="0" fontId="37" fillId="9" borderId="8" xfId="0" applyFont="1" applyFill="1" applyBorder="1" applyProtection="1"/>
    <xf numFmtId="3" fontId="72" fillId="11" borderId="1" xfId="0" applyNumberFormat="1" applyFont="1" applyFill="1" applyBorder="1" applyAlignment="1" applyProtection="1">
      <alignment horizontal="right" vertical="center"/>
    </xf>
    <xf numFmtId="0" fontId="68" fillId="4" borderId="3" xfId="4" applyFont="1" applyFill="1" applyBorder="1" applyAlignment="1" applyProtection="1">
      <alignment horizontal="center" vertical="center" wrapText="1"/>
    </xf>
    <xf numFmtId="0" fontId="68" fillId="14" borderId="4" xfId="4" applyFont="1" applyFill="1" applyBorder="1" applyAlignment="1" applyProtection="1">
      <alignment horizontal="left" vertical="center"/>
    </xf>
    <xf numFmtId="0" fontId="68" fillId="14" borderId="5" xfId="0" applyFont="1" applyFill="1" applyBorder="1" applyAlignment="1" applyProtection="1">
      <alignment horizontal="center" vertical="center" wrapText="1"/>
    </xf>
    <xf numFmtId="0" fontId="68" fillId="14" borderId="6" xfId="0" applyFont="1" applyFill="1" applyBorder="1" applyAlignment="1" applyProtection="1">
      <alignment horizontal="center" vertical="center" wrapText="1"/>
    </xf>
    <xf numFmtId="0" fontId="37" fillId="0" borderId="1" xfId="0" applyFont="1" applyFill="1" applyBorder="1" applyAlignment="1" applyProtection="1"/>
    <xf numFmtId="0" fontId="31" fillId="0" borderId="1" xfId="0" applyFont="1" applyFill="1" applyBorder="1" applyAlignment="1" applyProtection="1">
      <alignment horizontal="left" vertical="top"/>
    </xf>
    <xf numFmtId="0" fontId="57" fillId="9" borderId="19" xfId="0" applyFont="1" applyFill="1" applyBorder="1" applyAlignment="1" applyProtection="1">
      <alignment horizontal="center" vertical="center"/>
    </xf>
    <xf numFmtId="0" fontId="37" fillId="9" borderId="0" xfId="0" applyFont="1" applyFill="1" applyBorder="1" applyProtection="1"/>
    <xf numFmtId="3" fontId="37" fillId="11" borderId="1" xfId="0" applyNumberFormat="1" applyFont="1" applyFill="1" applyBorder="1" applyAlignment="1" applyProtection="1">
      <alignment horizontal="right" vertical="center"/>
    </xf>
    <xf numFmtId="0" fontId="57" fillId="9" borderId="0" xfId="0" applyFont="1" applyFill="1" applyBorder="1" applyAlignment="1" applyProtection="1">
      <alignment horizontal="center" vertical="center"/>
    </xf>
    <xf numFmtId="0" fontId="109" fillId="9" borderId="0" xfId="0" applyFont="1" applyFill="1" applyAlignment="1" applyProtection="1">
      <alignment horizontal="right"/>
    </xf>
    <xf numFmtId="0" fontId="24" fillId="9" borderId="0" xfId="0" applyFont="1" applyFill="1" applyAlignment="1" applyProtection="1">
      <alignment horizontal="center" vertical="top"/>
    </xf>
    <xf numFmtId="0" fontId="24" fillId="9" borderId="0" xfId="0" applyFont="1" applyFill="1" applyProtection="1"/>
    <xf numFmtId="0" fontId="13" fillId="9" borderId="0" xfId="0" applyFont="1" applyFill="1" applyProtection="1"/>
    <xf numFmtId="3" fontId="57" fillId="9" borderId="0" xfId="0" applyNumberFormat="1" applyFont="1" applyFill="1" applyBorder="1" applyAlignment="1" applyProtection="1">
      <alignment horizontal="center" vertical="center"/>
    </xf>
    <xf numFmtId="0" fontId="64" fillId="8" borderId="7" xfId="0" applyFont="1" applyFill="1" applyBorder="1" applyProtection="1"/>
    <xf numFmtId="0" fontId="69" fillId="9" borderId="0" xfId="0" applyFont="1" applyFill="1" applyBorder="1" applyAlignment="1" applyProtection="1">
      <alignment horizontal="center" vertical="center"/>
    </xf>
    <xf numFmtId="0" fontId="24" fillId="9" borderId="0" xfId="0" applyFont="1" applyFill="1" applyBorder="1" applyAlignment="1" applyProtection="1">
      <alignment horizontal="center"/>
    </xf>
    <xf numFmtId="3" fontId="64" fillId="10" borderId="1" xfId="0" applyNumberFormat="1" applyFont="1" applyFill="1" applyBorder="1" applyAlignment="1" applyProtection="1">
      <alignment horizontal="center" vertical="center"/>
      <protection locked="0"/>
    </xf>
    <xf numFmtId="3" fontId="59" fillId="25" borderId="1" xfId="0" applyNumberFormat="1" applyFont="1" applyFill="1" applyBorder="1" applyAlignment="1" applyProtection="1">
      <alignment horizontal="right" vertical="center"/>
      <protection locked="0"/>
    </xf>
    <xf numFmtId="0" fontId="9" fillId="0" borderId="8" xfId="0" applyFont="1" applyFill="1" applyBorder="1" applyAlignment="1" applyProtection="1">
      <alignment wrapText="1"/>
      <protection locked="0"/>
    </xf>
    <xf numFmtId="0" fontId="9" fillId="0" borderId="8" xfId="0" applyFont="1" applyFill="1" applyBorder="1" applyAlignment="1" applyProtection="1">
      <alignment horizontal="right" wrapText="1"/>
      <protection locked="0"/>
    </xf>
    <xf numFmtId="0" fontId="9" fillId="0" borderId="35" xfId="0" applyFont="1" applyFill="1" applyBorder="1" applyAlignment="1" applyProtection="1">
      <alignment wrapText="1"/>
      <protection locked="0"/>
    </xf>
    <xf numFmtId="0" fontId="78" fillId="28" borderId="0" xfId="0" applyFont="1" applyFill="1" applyProtection="1"/>
    <xf numFmtId="0" fontId="61" fillId="28" borderId="0" xfId="0" applyFont="1" applyFill="1" applyBorder="1" applyAlignment="1" applyProtection="1">
      <alignment vertical="center"/>
    </xf>
    <xf numFmtId="0" fontId="62" fillId="28" borderId="0" xfId="0" applyFont="1" applyFill="1" applyBorder="1" applyAlignment="1" applyProtection="1">
      <alignment vertical="center"/>
    </xf>
    <xf numFmtId="0" fontId="56" fillId="28" borderId="0" xfId="0" applyFont="1" applyFill="1" applyBorder="1" applyAlignment="1" applyProtection="1">
      <alignment horizontal="center" vertical="center" wrapText="1"/>
    </xf>
    <xf numFmtId="0" fontId="56" fillId="28" borderId="0" xfId="0" applyFont="1" applyFill="1" applyBorder="1" applyAlignment="1" applyProtection="1">
      <alignment vertical="center" wrapText="1"/>
    </xf>
    <xf numFmtId="0" fontId="60" fillId="28" borderId="0" xfId="4" applyFont="1" applyFill="1" applyBorder="1" applyAlignment="1" applyProtection="1">
      <alignment horizontal="center" vertical="center" wrapText="1"/>
    </xf>
    <xf numFmtId="0" fontId="0" fillId="12" borderId="0" xfId="0" applyFont="1" applyFill="1" applyAlignment="1" applyProtection="1">
      <alignment vertical="center"/>
    </xf>
    <xf numFmtId="0" fontId="9" fillId="12" borderId="0" xfId="0" applyFont="1" applyFill="1" applyAlignment="1" applyProtection="1">
      <alignment vertical="center"/>
    </xf>
    <xf numFmtId="0" fontId="100" fillId="12" borderId="49" xfId="0" applyFont="1" applyFill="1" applyBorder="1" applyAlignment="1" applyProtection="1">
      <alignment horizontal="center" vertical="center"/>
    </xf>
    <xf numFmtId="0" fontId="72" fillId="10" borderId="52" xfId="0" applyFont="1" applyFill="1" applyBorder="1" applyAlignment="1" applyProtection="1">
      <alignment horizontal="center" vertical="center"/>
    </xf>
    <xf numFmtId="0" fontId="72" fillId="22" borderId="47" xfId="0" applyFont="1" applyFill="1" applyBorder="1" applyAlignment="1" applyProtection="1">
      <alignment horizontal="left" vertical="center"/>
    </xf>
    <xf numFmtId="0" fontId="9" fillId="22" borderId="47" xfId="0" applyFont="1" applyFill="1" applyBorder="1" applyAlignment="1" applyProtection="1">
      <alignment horizontal="center" vertical="top"/>
    </xf>
    <xf numFmtId="0" fontId="9" fillId="22" borderId="47" xfId="0" applyFont="1" applyFill="1" applyBorder="1" applyAlignment="1" applyProtection="1">
      <alignment vertical="center"/>
    </xf>
    <xf numFmtId="0" fontId="69" fillId="22" borderId="47" xfId="0" applyFont="1" applyFill="1" applyBorder="1" applyAlignment="1" applyProtection="1">
      <alignment horizontal="center" vertical="center"/>
    </xf>
    <xf numFmtId="0" fontId="9" fillId="22" borderId="48" xfId="0" applyFont="1" applyFill="1" applyBorder="1" applyAlignment="1" applyProtection="1">
      <alignment vertical="center"/>
    </xf>
    <xf numFmtId="0" fontId="58" fillId="12" borderId="0" xfId="0" applyFont="1" applyFill="1" applyBorder="1" applyAlignment="1" applyProtection="1">
      <alignment vertical="center"/>
    </xf>
    <xf numFmtId="0" fontId="9" fillId="12" borderId="0" xfId="0" applyFont="1" applyFill="1" applyAlignment="1" applyProtection="1">
      <alignment horizontal="center" vertical="center"/>
    </xf>
    <xf numFmtId="0" fontId="57" fillId="12" borderId="0" xfId="0" applyFont="1" applyFill="1" applyAlignment="1" applyProtection="1">
      <alignment vertical="center"/>
    </xf>
    <xf numFmtId="0" fontId="0" fillId="12" borderId="0" xfId="0" applyFont="1" applyFill="1" applyAlignment="1" applyProtection="1">
      <alignment horizontal="right" vertical="center"/>
    </xf>
    <xf numFmtId="0" fontId="9" fillId="12" borderId="49" xfId="0" applyFont="1" applyFill="1" applyBorder="1" applyAlignment="1" applyProtection="1">
      <alignment vertical="center"/>
    </xf>
    <xf numFmtId="0" fontId="72" fillId="19" borderId="6" xfId="0" applyFont="1" applyFill="1" applyBorder="1" applyAlignment="1" applyProtection="1">
      <alignment horizontal="center" vertical="center"/>
    </xf>
    <xf numFmtId="0" fontId="72" fillId="22" borderId="0" xfId="0" applyFont="1" applyFill="1" applyBorder="1" applyAlignment="1" applyProtection="1">
      <alignment horizontal="left" vertical="center"/>
    </xf>
    <xf numFmtId="0" fontId="9" fillId="22" borderId="0" xfId="0" applyFont="1" applyFill="1" applyBorder="1" applyAlignment="1" applyProtection="1">
      <alignment horizontal="center" vertical="top"/>
    </xf>
    <xf numFmtId="0" fontId="9" fillId="22" borderId="0" xfId="0" applyFont="1" applyFill="1" applyBorder="1" applyAlignment="1" applyProtection="1">
      <alignment vertical="center"/>
    </xf>
    <xf numFmtId="3" fontId="9" fillId="25" borderId="1" xfId="0" applyNumberFormat="1" applyFont="1" applyFill="1" applyBorder="1" applyAlignment="1" applyProtection="1">
      <alignment horizontal="right" vertical="center"/>
    </xf>
    <xf numFmtId="0" fontId="9" fillId="22" borderId="49" xfId="0" applyFont="1" applyFill="1" applyBorder="1" applyAlignment="1" applyProtection="1">
      <alignment vertical="center"/>
    </xf>
    <xf numFmtId="0" fontId="72" fillId="11" borderId="57" xfId="0" applyFont="1" applyFill="1" applyBorder="1" applyAlignment="1" applyProtection="1">
      <alignment vertical="center"/>
    </xf>
    <xf numFmtId="0" fontId="72" fillId="22" borderId="19" xfId="0" applyFont="1" applyFill="1" applyBorder="1" applyAlignment="1" applyProtection="1">
      <alignment horizontal="left" vertical="center"/>
    </xf>
    <xf numFmtId="0" fontId="97" fillId="22" borderId="0" xfId="0" applyFont="1" applyFill="1" applyBorder="1" applyAlignment="1" applyProtection="1">
      <alignment horizontal="right" vertical="center"/>
    </xf>
    <xf numFmtId="0" fontId="9" fillId="22" borderId="49" xfId="0" applyFont="1" applyFill="1" applyBorder="1" applyAlignment="1" applyProtection="1">
      <alignment horizontal="left" vertical="center"/>
    </xf>
    <xf numFmtId="0" fontId="65" fillId="12" borderId="0" xfId="3" applyFont="1" applyFill="1" applyAlignment="1" applyProtection="1">
      <alignment vertical="center"/>
    </xf>
    <xf numFmtId="0" fontId="0" fillId="9" borderId="41" xfId="0" applyFont="1" applyFill="1" applyBorder="1" applyAlignment="1" applyProtection="1">
      <alignment vertical="center"/>
    </xf>
    <xf numFmtId="0" fontId="9" fillId="12" borderId="41" xfId="0" applyFont="1" applyFill="1" applyBorder="1" applyAlignment="1" applyProtection="1">
      <alignment vertical="center"/>
    </xf>
    <xf numFmtId="0" fontId="72" fillId="16" borderId="53" xfId="0" applyFont="1" applyFill="1" applyBorder="1" applyAlignment="1" applyProtection="1">
      <alignment vertical="center"/>
    </xf>
    <xf numFmtId="0" fontId="72" fillId="22" borderId="55" xfId="0" applyFont="1" applyFill="1" applyBorder="1" applyAlignment="1" applyProtection="1">
      <alignment vertical="center"/>
    </xf>
    <xf numFmtId="0" fontId="9" fillId="22" borderId="50" xfId="0" applyFont="1" applyFill="1" applyBorder="1" applyAlignment="1" applyProtection="1">
      <alignment horizontal="center" vertical="top"/>
    </xf>
    <xf numFmtId="0" fontId="9" fillId="22" borderId="50" xfId="0" applyFont="1" applyFill="1" applyBorder="1" applyAlignment="1" applyProtection="1">
      <alignment vertical="center"/>
    </xf>
    <xf numFmtId="0" fontId="9" fillId="22" borderId="50" xfId="0" applyFont="1" applyFill="1" applyBorder="1" applyAlignment="1" applyProtection="1">
      <alignment horizontal="center" vertical="center"/>
    </xf>
    <xf numFmtId="0" fontId="9" fillId="22" borderId="51" xfId="0" applyFont="1" applyFill="1" applyBorder="1" applyAlignment="1" applyProtection="1">
      <alignment vertical="center"/>
    </xf>
    <xf numFmtId="0" fontId="67" fillId="12" borderId="18" xfId="0" applyFont="1" applyFill="1" applyBorder="1" applyAlignment="1" applyProtection="1">
      <alignment horizontal="center" vertical="center" wrapText="1"/>
    </xf>
    <xf numFmtId="0" fontId="63" fillId="12" borderId="0" xfId="0" applyFont="1" applyFill="1" applyAlignment="1" applyProtection="1">
      <alignment vertical="center"/>
    </xf>
    <xf numFmtId="0" fontId="56" fillId="28" borderId="2" xfId="0" applyFont="1" applyFill="1" applyBorder="1" applyAlignment="1" applyProtection="1">
      <alignment horizontal="center" vertical="center"/>
    </xf>
    <xf numFmtId="0" fontId="56" fillId="28" borderId="2" xfId="0" applyFont="1" applyFill="1" applyBorder="1" applyAlignment="1" applyProtection="1">
      <alignment horizontal="left" vertical="center"/>
    </xf>
    <xf numFmtId="0" fontId="56" fillId="28" borderId="2" xfId="0" applyFont="1" applyFill="1" applyBorder="1" applyAlignment="1" applyProtection="1">
      <alignment horizontal="center" vertical="center" wrapText="1"/>
    </xf>
    <xf numFmtId="0" fontId="56" fillId="12" borderId="18" xfId="0" applyFont="1" applyFill="1" applyBorder="1" applyAlignment="1" applyProtection="1">
      <alignment horizontal="center" vertical="center" wrapText="1"/>
    </xf>
    <xf numFmtId="0" fontId="9" fillId="12" borderId="0" xfId="0" applyFont="1" applyFill="1" applyBorder="1" applyAlignment="1" applyProtection="1">
      <alignment vertical="center"/>
    </xf>
    <xf numFmtId="0" fontId="9" fillId="0" borderId="1" xfId="0" applyFont="1" applyFill="1" applyBorder="1" applyAlignment="1" applyProtection="1">
      <alignment horizontal="left" vertical="top"/>
    </xf>
    <xf numFmtId="0" fontId="9" fillId="0" borderId="3" xfId="0" applyFont="1" applyFill="1" applyBorder="1" applyAlignment="1" applyProtection="1">
      <alignment horizontal="center"/>
    </xf>
    <xf numFmtId="0" fontId="84" fillId="12" borderId="0" xfId="0"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0" fontId="59" fillId="0" borderId="1" xfId="4" applyFont="1" applyFill="1" applyBorder="1" applyAlignment="1" applyProtection="1">
      <alignment horizontal="center" vertical="center" wrapText="1"/>
    </xf>
    <xf numFmtId="0" fontId="9" fillId="12" borderId="0" xfId="0" applyFont="1" applyFill="1" applyProtection="1"/>
    <xf numFmtId="0" fontId="9" fillId="0" borderId="1" xfId="0" applyFont="1" applyFill="1" applyBorder="1" applyAlignment="1" applyProtection="1">
      <alignment horizontal="center" vertical="top"/>
    </xf>
    <xf numFmtId="0" fontId="9" fillId="0" borderId="1" xfId="0" applyFont="1" applyFill="1" applyBorder="1" applyAlignment="1" applyProtection="1">
      <alignment horizontal="left" vertical="top" wrapText="1"/>
    </xf>
    <xf numFmtId="0" fontId="9" fillId="0" borderId="2" xfId="0" applyFont="1" applyFill="1" applyBorder="1" applyAlignment="1" applyProtection="1">
      <alignment horizontal="center" vertical="top"/>
    </xf>
    <xf numFmtId="0" fontId="9" fillId="0" borderId="15" xfId="0" applyFont="1" applyFill="1" applyBorder="1" applyAlignment="1" applyProtection="1">
      <alignment horizontal="center" vertical="center"/>
    </xf>
    <xf numFmtId="0" fontId="9" fillId="0" borderId="7" xfId="0" applyFont="1" applyFill="1" applyBorder="1" applyAlignment="1" applyProtection="1">
      <alignment horizontal="left" vertical="top"/>
    </xf>
    <xf numFmtId="0" fontId="9" fillId="0" borderId="3" xfId="0" applyFont="1" applyFill="1" applyBorder="1" applyAlignment="1" applyProtection="1">
      <alignment horizontal="center" vertical="center"/>
    </xf>
    <xf numFmtId="0" fontId="72" fillId="0" borderId="22" xfId="0" applyFont="1" applyFill="1" applyBorder="1" applyAlignment="1" applyProtection="1">
      <alignment horizontal="left" vertical="top"/>
    </xf>
    <xf numFmtId="0" fontId="59" fillId="0" borderId="1" xfId="4" applyFont="1" applyFill="1" applyBorder="1" applyAlignment="1" applyProtection="1">
      <alignment horizontal="center" vertical="center"/>
    </xf>
    <xf numFmtId="0" fontId="72" fillId="0" borderId="7" xfId="0" applyFont="1" applyFill="1" applyBorder="1" applyAlignment="1" applyProtection="1">
      <alignment horizontal="left" vertical="top"/>
    </xf>
    <xf numFmtId="0" fontId="59" fillId="0" borderId="15" xfId="0" applyFont="1" applyFill="1" applyBorder="1" applyAlignment="1" applyProtection="1">
      <alignment horizontal="center" vertical="center" wrapText="1"/>
    </xf>
    <xf numFmtId="0" fontId="59" fillId="0" borderId="1" xfId="4" applyFont="1" applyFill="1" applyBorder="1" applyAlignment="1" applyProtection="1">
      <alignment horizontal="left" vertical="top"/>
    </xf>
    <xf numFmtId="0" fontId="59" fillId="0" borderId="25" xfId="0" applyFont="1" applyFill="1" applyBorder="1" applyAlignment="1" applyProtection="1">
      <alignment horizontal="center" vertical="center" wrapText="1"/>
    </xf>
    <xf numFmtId="0" fontId="72" fillId="0" borderId="1" xfId="0" applyFont="1" applyFill="1" applyBorder="1" applyAlignment="1" applyProtection="1">
      <alignment horizontal="left" vertical="top"/>
    </xf>
    <xf numFmtId="0" fontId="59" fillId="0" borderId="1" xfId="0" applyFont="1" applyFill="1" applyBorder="1" applyAlignment="1" applyProtection="1">
      <alignment horizontal="center" vertical="center"/>
    </xf>
    <xf numFmtId="3" fontId="7" fillId="16" borderId="1" xfId="0" applyNumberFormat="1" applyFont="1" applyFill="1" applyBorder="1" applyAlignment="1" applyProtection="1">
      <alignment horizontal="right" vertical="center"/>
    </xf>
    <xf numFmtId="0" fontId="84" fillId="9" borderId="0" xfId="0" applyFont="1" applyFill="1" applyBorder="1" applyAlignment="1" applyProtection="1">
      <alignment horizontal="center" vertical="center"/>
    </xf>
    <xf numFmtId="0" fontId="9" fillId="0" borderId="1" xfId="0" applyFont="1" applyFill="1" applyBorder="1" applyAlignment="1" applyProtection="1">
      <alignment vertical="top"/>
    </xf>
    <xf numFmtId="0" fontId="97" fillId="0" borderId="1" xfId="0" applyFont="1" applyFill="1" applyBorder="1" applyAlignment="1" applyProtection="1">
      <alignment vertical="top"/>
    </xf>
    <xf numFmtId="0" fontId="97" fillId="0" borderId="3" xfId="0" applyFont="1" applyFill="1" applyBorder="1" applyAlignment="1" applyProtection="1">
      <alignment horizontal="center" vertical="center"/>
    </xf>
    <xf numFmtId="0" fontId="72" fillId="0" borderId="3" xfId="0" applyFont="1" applyFill="1" applyBorder="1" applyAlignment="1" applyProtection="1">
      <alignment horizontal="center" vertical="center" wrapText="1"/>
    </xf>
    <xf numFmtId="0" fontId="9" fillId="9" borderId="0" xfId="0" applyFont="1" applyFill="1" applyAlignment="1" applyProtection="1">
      <alignment horizontal="center" vertical="top"/>
    </xf>
    <xf numFmtId="0" fontId="9" fillId="9" borderId="0" xfId="0" applyFont="1" applyFill="1" applyProtection="1"/>
    <xf numFmtId="0" fontId="69" fillId="12" borderId="0" xfId="0" applyFont="1" applyFill="1" applyBorder="1" applyAlignment="1" applyProtection="1">
      <alignment horizontal="center" vertical="center"/>
    </xf>
    <xf numFmtId="0" fontId="67" fillId="28" borderId="7" xfId="0" applyFont="1" applyFill="1" applyBorder="1" applyProtection="1"/>
    <xf numFmtId="0" fontId="9" fillId="9" borderId="0" xfId="0" applyFont="1" applyFill="1" applyBorder="1" applyAlignment="1" applyProtection="1">
      <alignment horizontal="center"/>
    </xf>
    <xf numFmtId="0" fontId="9" fillId="12" borderId="0" xfId="0" applyFont="1" applyFill="1" applyBorder="1" applyProtection="1"/>
    <xf numFmtId="0" fontId="60" fillId="27" borderId="0" xfId="0" applyFont="1" applyFill="1" applyProtection="1"/>
    <xf numFmtId="0" fontId="61" fillId="27" borderId="0" xfId="0" applyFont="1" applyFill="1" applyBorder="1" applyAlignment="1" applyProtection="1">
      <alignment vertical="center"/>
    </xf>
    <xf numFmtId="0" fontId="62" fillId="27" borderId="0" xfId="0" applyFont="1" applyFill="1" applyBorder="1" applyAlignment="1" applyProtection="1">
      <alignment vertical="center"/>
    </xf>
    <xf numFmtId="0" fontId="56" fillId="27" borderId="0" xfId="0" applyFont="1" applyFill="1" applyBorder="1" applyAlignment="1" applyProtection="1">
      <alignment horizontal="center" vertical="center" wrapText="1"/>
    </xf>
    <xf numFmtId="0" fontId="56" fillId="27" borderId="0" xfId="0" applyFont="1" applyFill="1" applyBorder="1" applyAlignment="1" applyProtection="1">
      <alignment vertical="center" wrapText="1"/>
    </xf>
    <xf numFmtId="0" fontId="60" fillId="27" borderId="0" xfId="4" applyFont="1" applyFill="1" applyBorder="1" applyAlignment="1" applyProtection="1">
      <alignment horizontal="center" vertical="center" wrapText="1"/>
    </xf>
    <xf numFmtId="0" fontId="9" fillId="9" borderId="0" xfId="0" applyFont="1" applyFill="1" applyAlignment="1" applyProtection="1">
      <alignment vertical="center"/>
    </xf>
    <xf numFmtId="0" fontId="101" fillId="9" borderId="0" xfId="0" applyFont="1" applyFill="1" applyAlignment="1" applyProtection="1">
      <alignment horizontal="right" vertical="center"/>
    </xf>
    <xf numFmtId="0" fontId="72" fillId="10" borderId="1" xfId="0" applyFont="1" applyFill="1" applyBorder="1" applyAlignment="1" applyProtection="1">
      <alignment horizontal="center" vertical="center"/>
    </xf>
    <xf numFmtId="0" fontId="72" fillId="9" borderId="0" xfId="0" applyFont="1" applyFill="1" applyAlignment="1" applyProtection="1">
      <alignment horizontal="left" vertical="center"/>
    </xf>
    <xf numFmtId="0" fontId="9" fillId="9" borderId="0" xfId="0" applyFont="1" applyFill="1" applyAlignment="1" applyProtection="1">
      <alignment horizontal="center" vertical="center"/>
    </xf>
    <xf numFmtId="0" fontId="63" fillId="9" borderId="0" xfId="0" applyFont="1" applyFill="1" applyAlignment="1" applyProtection="1">
      <alignment vertical="center"/>
    </xf>
    <xf numFmtId="0" fontId="64" fillId="9" borderId="0" xfId="0" applyFont="1" applyFill="1" applyAlignment="1" applyProtection="1">
      <alignment vertical="center"/>
    </xf>
    <xf numFmtId="0" fontId="72" fillId="9" borderId="0" xfId="0" applyFont="1" applyFill="1" applyAlignment="1" applyProtection="1">
      <alignment vertical="center"/>
    </xf>
    <xf numFmtId="0" fontId="72" fillId="19" borderId="1" xfId="0" applyFont="1" applyFill="1" applyBorder="1" applyAlignment="1" applyProtection="1">
      <alignment horizontal="center" vertical="center"/>
    </xf>
    <xf numFmtId="0" fontId="72" fillId="11" borderId="1" xfId="0" applyFont="1" applyFill="1" applyBorder="1" applyAlignment="1" applyProtection="1">
      <alignment vertical="center"/>
    </xf>
    <xf numFmtId="0" fontId="9" fillId="12" borderId="0" xfId="0" applyFont="1" applyFill="1" applyAlignment="1" applyProtection="1">
      <alignment horizontal="center" vertical="top"/>
    </xf>
    <xf numFmtId="0" fontId="64" fillId="27" borderId="17" xfId="0" applyFont="1" applyFill="1" applyBorder="1" applyProtection="1"/>
    <xf numFmtId="0" fontId="59" fillId="27" borderId="17" xfId="0" applyFont="1" applyFill="1" applyBorder="1" applyProtection="1"/>
    <xf numFmtId="0" fontId="59" fillId="27" borderId="16" xfId="0" applyFont="1" applyFill="1" applyBorder="1" applyProtection="1"/>
    <xf numFmtId="0" fontId="68" fillId="27" borderId="2" xfId="0" applyFont="1" applyFill="1" applyBorder="1" applyAlignment="1" applyProtection="1">
      <alignment horizontal="center" vertical="center"/>
    </xf>
    <xf numFmtId="0" fontId="68" fillId="27" borderId="2" xfId="0" applyFont="1" applyFill="1" applyBorder="1" applyAlignment="1" applyProtection="1">
      <alignment horizontal="left" vertical="center"/>
    </xf>
    <xf numFmtId="0" fontId="68" fillId="27" borderId="10" xfId="0" applyFont="1" applyFill="1" applyBorder="1" applyAlignment="1" applyProtection="1">
      <alignment horizontal="center" vertical="center"/>
    </xf>
    <xf numFmtId="0" fontId="68" fillId="27" borderId="2" xfId="0" applyFont="1" applyFill="1" applyBorder="1" applyAlignment="1" applyProtection="1">
      <alignment horizontal="center" vertical="center" wrapText="1"/>
    </xf>
    <xf numFmtId="0" fontId="68" fillId="9" borderId="8" xfId="0" applyFont="1" applyFill="1" applyBorder="1" applyAlignment="1" applyProtection="1">
      <alignment horizontal="center" vertical="center" wrapText="1"/>
    </xf>
    <xf numFmtId="0" fontId="69" fillId="9" borderId="8"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9" fillId="0" borderId="7" xfId="0" applyFont="1" applyFill="1" applyBorder="1" applyAlignment="1" applyProtection="1">
      <alignment horizontal="center" vertical="center"/>
    </xf>
    <xf numFmtId="0" fontId="9" fillId="9" borderId="8" xfId="0" applyFont="1" applyFill="1" applyBorder="1" applyProtection="1"/>
    <xf numFmtId="0" fontId="9" fillId="0" borderId="1" xfId="0" applyFont="1" applyFill="1" applyBorder="1" applyAlignment="1" applyProtection="1"/>
    <xf numFmtId="0" fontId="69" fillId="9" borderId="19" xfId="0" applyFont="1" applyFill="1" applyBorder="1" applyAlignment="1" applyProtection="1">
      <alignment horizontal="center" vertical="center"/>
    </xf>
    <xf numFmtId="0" fontId="9" fillId="9" borderId="0" xfId="0" applyFont="1" applyFill="1" applyBorder="1" applyProtection="1"/>
    <xf numFmtId="0" fontId="71" fillId="27" borderId="7" xfId="0" applyFont="1" applyFill="1" applyBorder="1" applyProtection="1"/>
    <xf numFmtId="3" fontId="29" fillId="25" borderId="1" xfId="0" applyNumberFormat="1" applyFont="1" applyFill="1" applyBorder="1" applyAlignment="1" applyProtection="1">
      <alignment horizontal="right" vertical="center"/>
      <protection locked="0"/>
    </xf>
    <xf numFmtId="0" fontId="29" fillId="25" borderId="1" xfId="0" applyFont="1" applyFill="1" applyBorder="1" applyAlignment="1" applyProtection="1">
      <alignment horizontal="right" vertical="center"/>
      <protection locked="0"/>
    </xf>
    <xf numFmtId="0" fontId="78" fillId="24" borderId="0" xfId="0" applyFont="1" applyFill="1" applyBorder="1" applyAlignment="1" applyProtection="1">
      <alignment vertical="center"/>
    </xf>
    <xf numFmtId="0" fontId="61" fillId="24" borderId="0" xfId="0" applyFont="1" applyFill="1" applyBorder="1" applyAlignment="1" applyProtection="1">
      <alignment vertical="center"/>
    </xf>
    <xf numFmtId="0" fontId="62" fillId="24" borderId="0" xfId="0" applyFont="1" applyFill="1" applyBorder="1" applyAlignment="1" applyProtection="1">
      <alignment vertical="center"/>
    </xf>
    <xf numFmtId="0" fontId="56" fillId="24" borderId="0" xfId="0" applyFont="1" applyFill="1" applyBorder="1" applyAlignment="1" applyProtection="1">
      <alignment horizontal="center" vertical="center" wrapText="1"/>
    </xf>
    <xf numFmtId="0" fontId="56" fillId="24" borderId="0" xfId="0" applyFont="1" applyFill="1" applyBorder="1" applyAlignment="1" applyProtection="1">
      <alignment vertical="center" wrapText="1"/>
    </xf>
    <xf numFmtId="0" fontId="60" fillId="24" borderId="0" xfId="4" applyFont="1" applyFill="1" applyBorder="1" applyAlignment="1" applyProtection="1">
      <alignment horizontal="center" vertical="center" wrapText="1"/>
    </xf>
    <xf numFmtId="0" fontId="29" fillId="12" borderId="0" xfId="0" applyFont="1" applyFill="1" applyAlignment="1" applyProtection="1">
      <alignment vertical="center"/>
    </xf>
    <xf numFmtId="0" fontId="58" fillId="12" borderId="49" xfId="0" applyFont="1" applyFill="1" applyBorder="1" applyAlignment="1" applyProtection="1">
      <alignment vertical="center"/>
    </xf>
    <xf numFmtId="0" fontId="38" fillId="10" borderId="52" xfId="0" applyFont="1" applyFill="1" applyBorder="1" applyAlignment="1" applyProtection="1">
      <alignment horizontal="center" vertical="center"/>
    </xf>
    <xf numFmtId="0" fontId="38" fillId="22" borderId="47" xfId="0" applyFont="1" applyFill="1" applyBorder="1" applyAlignment="1" applyProtection="1">
      <alignment horizontal="left" vertical="center"/>
    </xf>
    <xf numFmtId="0" fontId="24" fillId="22" borderId="47" xfId="0" applyFont="1" applyFill="1" applyBorder="1" applyAlignment="1" applyProtection="1">
      <alignment horizontal="center" vertical="top"/>
    </xf>
    <xf numFmtId="0" fontId="24" fillId="22" borderId="47" xfId="0" applyFont="1" applyFill="1" applyBorder="1" applyAlignment="1" applyProtection="1">
      <alignment vertical="center"/>
    </xf>
    <xf numFmtId="0" fontId="29" fillId="22" borderId="48" xfId="0" applyFont="1" applyFill="1" applyBorder="1" applyAlignment="1" applyProtection="1">
      <alignment vertical="center"/>
    </xf>
    <xf numFmtId="0" fontId="14" fillId="9" borderId="0" xfId="0" applyFont="1" applyFill="1" applyAlignment="1" applyProtection="1">
      <alignment vertical="center"/>
    </xf>
    <xf numFmtId="0" fontId="38" fillId="19" borderId="6" xfId="0" applyFont="1" applyFill="1" applyBorder="1" applyAlignment="1" applyProtection="1">
      <alignment horizontal="center" vertical="center"/>
    </xf>
    <xf numFmtId="0" fontId="38" fillId="22" borderId="0" xfId="0" applyFont="1" applyFill="1" applyBorder="1" applyAlignment="1" applyProtection="1">
      <alignment horizontal="left" vertical="center"/>
    </xf>
    <xf numFmtId="0" fontId="24" fillId="22" borderId="0" xfId="0" applyFont="1" applyFill="1" applyBorder="1" applyAlignment="1" applyProtection="1">
      <alignment horizontal="center" vertical="top"/>
    </xf>
    <xf numFmtId="0" fontId="24" fillId="22" borderId="0" xfId="0" applyFont="1" applyFill="1" applyBorder="1" applyAlignment="1" applyProtection="1">
      <alignment vertical="center"/>
    </xf>
    <xf numFmtId="3" fontId="29" fillId="25" borderId="1" xfId="0" applyNumberFormat="1" applyFont="1" applyFill="1" applyBorder="1" applyAlignment="1" applyProtection="1">
      <alignment horizontal="right" vertical="center"/>
    </xf>
    <xf numFmtId="0" fontId="14" fillId="22" borderId="49" xfId="0" applyFont="1" applyFill="1" applyBorder="1" applyAlignment="1" applyProtection="1">
      <alignment vertical="center"/>
    </xf>
    <xf numFmtId="0" fontId="94" fillId="12" borderId="0" xfId="0" applyFont="1" applyFill="1" applyAlignment="1" applyProtection="1">
      <alignment horizontal="left" vertical="center"/>
    </xf>
    <xf numFmtId="0" fontId="28" fillId="12" borderId="0" xfId="0" applyFont="1" applyFill="1" applyBorder="1" applyAlignment="1" applyProtection="1">
      <alignment vertical="center"/>
    </xf>
    <xf numFmtId="0" fontId="38" fillId="11" borderId="57" xfId="0" applyFont="1" applyFill="1" applyBorder="1" applyAlignment="1" applyProtection="1">
      <alignment vertical="center"/>
    </xf>
    <xf numFmtId="0" fontId="38" fillId="22" borderId="19" xfId="0" applyFont="1" applyFill="1" applyBorder="1" applyAlignment="1" applyProtection="1">
      <alignment horizontal="left" vertical="center"/>
    </xf>
    <xf numFmtId="0" fontId="13" fillId="22" borderId="49" xfId="0" applyFont="1" applyFill="1" applyBorder="1" applyAlignment="1" applyProtection="1">
      <alignment horizontal="left" vertical="center"/>
    </xf>
    <xf numFmtId="0" fontId="58" fillId="12" borderId="54" xfId="0" applyFont="1" applyFill="1" applyBorder="1" applyAlignment="1" applyProtection="1">
      <alignment vertical="center"/>
    </xf>
    <xf numFmtId="0" fontId="38" fillId="16" borderId="53" xfId="0" applyFont="1" applyFill="1" applyBorder="1" applyAlignment="1" applyProtection="1">
      <alignment vertical="center"/>
    </xf>
    <xf numFmtId="0" fontId="38" fillId="22" borderId="55" xfId="0" applyFont="1" applyFill="1" applyBorder="1" applyAlignment="1" applyProtection="1">
      <alignment vertical="center"/>
    </xf>
    <xf numFmtId="0" fontId="24" fillId="22" borderId="50" xfId="0" applyFont="1" applyFill="1" applyBorder="1" applyAlignment="1" applyProtection="1">
      <alignment horizontal="center" vertical="top"/>
    </xf>
    <xf numFmtId="0" fontId="24" fillId="22" borderId="50" xfId="0" applyFont="1" applyFill="1" applyBorder="1" applyAlignment="1" applyProtection="1">
      <alignment vertical="center"/>
    </xf>
    <xf numFmtId="0" fontId="29" fillId="22" borderId="50" xfId="0" applyFont="1" applyFill="1" applyBorder="1" applyAlignment="1" applyProtection="1">
      <alignment horizontal="center" vertical="center"/>
    </xf>
    <xf numFmtId="0" fontId="29" fillId="22" borderId="51" xfId="0" applyFont="1" applyFill="1" applyBorder="1" applyAlignment="1" applyProtection="1">
      <alignment vertical="center"/>
    </xf>
    <xf numFmtId="0" fontId="56" fillId="24" borderId="2" xfId="0" applyFont="1" applyFill="1" applyBorder="1" applyAlignment="1" applyProtection="1">
      <alignment horizontal="center" vertical="center"/>
    </xf>
    <xf numFmtId="0" fontId="56" fillId="24" borderId="2" xfId="0" applyFont="1" applyFill="1" applyBorder="1" applyAlignment="1" applyProtection="1">
      <alignment horizontal="left" vertical="center"/>
    </xf>
    <xf numFmtId="0" fontId="56" fillId="24" borderId="2" xfId="0" applyFont="1" applyFill="1" applyBorder="1" applyAlignment="1" applyProtection="1">
      <alignment horizontal="center" vertical="center" wrapText="1"/>
    </xf>
    <xf numFmtId="0" fontId="29" fillId="12" borderId="0" xfId="0" applyFont="1" applyFill="1" applyBorder="1" applyAlignment="1" applyProtection="1">
      <alignment vertical="center"/>
    </xf>
    <xf numFmtId="0" fontId="29" fillId="0" borderId="1" xfId="0" applyFont="1" applyFill="1" applyBorder="1" applyAlignment="1" applyProtection="1">
      <alignment horizontal="left" vertical="top"/>
    </xf>
    <xf numFmtId="0" fontId="29" fillId="0" borderId="3" xfId="0" applyFont="1" applyFill="1" applyBorder="1" applyAlignment="1" applyProtection="1">
      <alignment horizontal="center" vertical="center"/>
    </xf>
    <xf numFmtId="0" fontId="29" fillId="0" borderId="1" xfId="0" applyFont="1" applyFill="1" applyBorder="1" applyAlignment="1" applyProtection="1">
      <alignment horizontal="center" vertical="center"/>
    </xf>
    <xf numFmtId="3" fontId="29" fillId="0" borderId="1" xfId="0" applyNumberFormat="1" applyFont="1" applyFill="1" applyBorder="1" applyAlignment="1" applyProtection="1">
      <alignment horizontal="right" vertical="center"/>
    </xf>
    <xf numFmtId="0" fontId="29" fillId="0" borderId="1" xfId="0" applyFont="1" applyFill="1" applyBorder="1" applyAlignment="1" applyProtection="1">
      <alignment horizontal="center" vertical="top"/>
    </xf>
    <xf numFmtId="0" fontId="29" fillId="0" borderId="2" xfId="0" applyFont="1" applyFill="1" applyBorder="1" applyAlignment="1" applyProtection="1">
      <alignment horizontal="center" vertical="top"/>
    </xf>
    <xf numFmtId="0" fontId="29" fillId="0" borderId="15" xfId="0" applyFont="1" applyFill="1" applyBorder="1" applyAlignment="1" applyProtection="1">
      <alignment horizontal="center" vertical="center"/>
    </xf>
    <xf numFmtId="0" fontId="29" fillId="0" borderId="7" xfId="0" applyFont="1" applyFill="1" applyBorder="1" applyAlignment="1" applyProtection="1">
      <alignment horizontal="left" vertical="top"/>
    </xf>
    <xf numFmtId="3" fontId="29" fillId="16" borderId="1" xfId="0" applyNumberFormat="1" applyFont="1" applyFill="1" applyBorder="1" applyAlignment="1" applyProtection="1">
      <alignment horizontal="right" vertical="center"/>
    </xf>
    <xf numFmtId="0" fontId="19" fillId="0" borderId="3" xfId="0" applyFont="1" applyFill="1" applyBorder="1" applyAlignment="1" applyProtection="1">
      <alignment horizontal="center" vertical="center"/>
    </xf>
    <xf numFmtId="0" fontId="14" fillId="0" borderId="1" xfId="0" applyFont="1" applyFill="1" applyBorder="1" applyAlignment="1" applyProtection="1">
      <alignment horizontal="left" vertical="top"/>
    </xf>
    <xf numFmtId="0" fontId="14" fillId="0" borderId="3" xfId="0" applyFont="1" applyFill="1" applyBorder="1" applyAlignment="1" applyProtection="1">
      <alignment horizontal="center" vertical="center"/>
    </xf>
    <xf numFmtId="0" fontId="59" fillId="17" borderId="1" xfId="4" applyFont="1" applyFill="1" applyBorder="1" applyAlignment="1" applyProtection="1">
      <alignment horizontal="center" vertical="center" wrapText="1"/>
    </xf>
    <xf numFmtId="0" fontId="59" fillId="17" borderId="1" xfId="4" applyFont="1" applyFill="1" applyBorder="1" applyAlignment="1" applyProtection="1">
      <alignment horizontal="left" vertical="top"/>
    </xf>
    <xf numFmtId="3" fontId="29" fillId="11" borderId="1" xfId="0" applyNumberFormat="1" applyFont="1" applyFill="1" applyBorder="1" applyAlignment="1" applyProtection="1">
      <alignment horizontal="right" vertical="center"/>
    </xf>
    <xf numFmtId="0" fontId="29" fillId="9" borderId="0" xfId="0" applyFont="1" applyFill="1" applyAlignment="1" applyProtection="1">
      <alignment vertical="center"/>
    </xf>
    <xf numFmtId="3" fontId="29" fillId="12" borderId="0" xfId="0" applyNumberFormat="1" applyFont="1" applyFill="1" applyAlignment="1" applyProtection="1">
      <alignment vertical="center"/>
    </xf>
    <xf numFmtId="0" fontId="97" fillId="0" borderId="1" xfId="0" applyFont="1" applyFill="1" applyBorder="1" applyAlignment="1" applyProtection="1">
      <alignment horizontal="left" vertical="top"/>
    </xf>
    <xf numFmtId="0" fontId="57" fillId="12" borderId="0" xfId="0" applyFont="1" applyFill="1" applyBorder="1" applyAlignment="1" applyProtection="1">
      <alignment vertical="center"/>
    </xf>
    <xf numFmtId="0" fontId="29" fillId="12" borderId="0" xfId="0" applyFont="1" applyFill="1" applyAlignment="1" applyProtection="1">
      <alignment horizontal="center" vertical="center"/>
    </xf>
    <xf numFmtId="0" fontId="67" fillId="24" borderId="7" xfId="0" applyFont="1" applyFill="1" applyBorder="1" applyProtection="1"/>
    <xf numFmtId="0" fontId="29" fillId="12" borderId="0" xfId="0" applyFont="1" applyFill="1" applyAlignment="1" applyProtection="1">
      <alignment horizontal="right" vertical="center"/>
    </xf>
    <xf numFmtId="3" fontId="51" fillId="10" borderId="1" xfId="0" applyNumberFormat="1" applyFont="1" applyFill="1" applyBorder="1" applyAlignment="1" applyProtection="1">
      <alignment horizontal="center" vertical="center"/>
      <protection locked="0"/>
    </xf>
    <xf numFmtId="3" fontId="86" fillId="2" borderId="1" xfId="0" applyNumberFormat="1" applyFont="1" applyFill="1" applyBorder="1" applyAlignment="1" applyProtection="1">
      <alignment horizontal="right" vertical="center"/>
      <protection locked="0"/>
    </xf>
    <xf numFmtId="0" fontId="103" fillId="0" borderId="8" xfId="0" applyFont="1" applyFill="1" applyBorder="1" applyAlignment="1" applyProtection="1">
      <alignment wrapText="1"/>
      <protection locked="0"/>
    </xf>
    <xf numFmtId="0" fontId="103" fillId="0" borderId="35" xfId="0" applyFont="1" applyFill="1" applyBorder="1" applyAlignment="1" applyProtection="1">
      <alignment wrapText="1"/>
      <protection locked="0"/>
    </xf>
    <xf numFmtId="0" fontId="47" fillId="7" borderId="0" xfId="0" applyFont="1" applyFill="1" applyProtection="1"/>
    <xf numFmtId="0" fontId="46" fillId="7" borderId="0" xfId="0" applyFont="1" applyFill="1" applyBorder="1" applyAlignment="1" applyProtection="1">
      <alignment vertical="center"/>
    </xf>
    <xf numFmtId="0" fontId="48" fillId="7" borderId="0" xfId="0" applyFont="1" applyFill="1" applyBorder="1" applyAlignment="1" applyProtection="1">
      <alignment vertical="center"/>
    </xf>
    <xf numFmtId="0" fontId="48" fillId="18" borderId="0" xfId="0" applyFont="1" applyFill="1" applyBorder="1" applyAlignment="1" applyProtection="1">
      <alignment vertical="center"/>
    </xf>
    <xf numFmtId="0" fontId="40" fillId="7" borderId="0" xfId="0" applyFont="1" applyFill="1" applyBorder="1" applyAlignment="1" applyProtection="1">
      <alignment horizontal="center" vertical="center" wrapText="1"/>
    </xf>
    <xf numFmtId="0" fontId="40" fillId="7" borderId="0" xfId="0" applyFont="1" applyFill="1" applyBorder="1" applyAlignment="1" applyProtection="1">
      <alignment vertical="center" wrapText="1"/>
    </xf>
    <xf numFmtId="0" fontId="40" fillId="18" borderId="0" xfId="0" applyFont="1" applyFill="1" applyBorder="1" applyAlignment="1" applyProtection="1">
      <alignment vertical="center" wrapText="1"/>
    </xf>
    <xf numFmtId="0" fontId="46" fillId="18" borderId="0" xfId="0" applyFont="1" applyFill="1" applyBorder="1" applyAlignment="1" applyProtection="1">
      <alignment vertical="center"/>
    </xf>
    <xf numFmtId="0" fontId="49" fillId="18" borderId="0" xfId="4" applyFont="1" applyFill="1" applyBorder="1" applyAlignment="1" applyProtection="1">
      <alignment horizontal="center" vertical="center" wrapText="1"/>
    </xf>
    <xf numFmtId="0" fontId="102" fillId="9" borderId="0" xfId="0" applyFont="1" applyFill="1" applyAlignment="1" applyProtection="1">
      <alignment vertical="center"/>
    </xf>
    <xf numFmtId="0" fontId="38" fillId="9" borderId="0" xfId="0" applyFont="1" applyFill="1" applyAlignment="1" applyProtection="1">
      <alignment vertical="center"/>
    </xf>
    <xf numFmtId="0" fontId="38" fillId="10" borderId="56" xfId="0" applyFont="1" applyFill="1" applyBorder="1" applyAlignment="1" applyProtection="1">
      <alignment horizontal="center" vertical="center"/>
    </xf>
    <xf numFmtId="0" fontId="103" fillId="22" borderId="47" xfId="0" applyFont="1" applyFill="1" applyBorder="1" applyAlignment="1" applyProtection="1">
      <alignment horizontal="center" vertical="top"/>
    </xf>
    <xf numFmtId="0" fontId="103" fillId="22" borderId="47" xfId="0" applyFont="1" applyFill="1" applyBorder="1" applyAlignment="1" applyProtection="1">
      <alignment vertical="center"/>
    </xf>
    <xf numFmtId="0" fontId="104" fillId="22" borderId="47" xfId="0" applyFont="1" applyFill="1" applyBorder="1" applyAlignment="1" applyProtection="1">
      <alignment horizontal="center" vertical="center"/>
    </xf>
    <xf numFmtId="0" fontId="103" fillId="22" borderId="48" xfId="0" applyFont="1" applyFill="1" applyBorder="1" applyAlignment="1" applyProtection="1">
      <alignment vertical="center"/>
    </xf>
    <xf numFmtId="0" fontId="42" fillId="9" borderId="0" xfId="0" applyFont="1" applyFill="1" applyAlignment="1" applyProtection="1">
      <alignment horizontal="left" vertical="center"/>
    </xf>
    <xf numFmtId="0" fontId="45" fillId="9" borderId="0" xfId="0" applyFont="1" applyFill="1" applyBorder="1" applyAlignment="1" applyProtection="1">
      <alignment vertical="center"/>
    </xf>
    <xf numFmtId="0" fontId="38" fillId="9" borderId="0" xfId="0" applyFont="1" applyFill="1" applyAlignment="1" applyProtection="1">
      <alignment horizontal="center" vertical="center"/>
    </xf>
    <xf numFmtId="0" fontId="42" fillId="9" borderId="0" xfId="0" applyFont="1" applyFill="1" applyAlignment="1" applyProtection="1">
      <alignment vertical="center"/>
    </xf>
    <xf numFmtId="0" fontId="103" fillId="9" borderId="0" xfId="0" applyFont="1" applyFill="1" applyAlignment="1" applyProtection="1">
      <alignment vertical="center"/>
    </xf>
    <xf numFmtId="0" fontId="38" fillId="19" borderId="57" xfId="0" applyFont="1" applyFill="1" applyBorder="1" applyAlignment="1" applyProtection="1">
      <alignment horizontal="center" vertical="center"/>
    </xf>
    <xf numFmtId="0" fontId="103" fillId="22" borderId="0" xfId="0" applyFont="1" applyFill="1" applyBorder="1" applyAlignment="1" applyProtection="1">
      <alignment horizontal="center" vertical="top"/>
    </xf>
    <xf numFmtId="0" fontId="103" fillId="22" borderId="0" xfId="0" applyFont="1" applyFill="1" applyBorder="1" applyAlignment="1" applyProtection="1">
      <alignment vertical="center"/>
    </xf>
    <xf numFmtId="3" fontId="103" fillId="25" borderId="1" xfId="0" applyNumberFormat="1" applyFont="1" applyFill="1" applyBorder="1" applyAlignment="1" applyProtection="1">
      <alignment horizontal="right" vertical="center"/>
    </xf>
    <xf numFmtId="0" fontId="103" fillId="22" borderId="49" xfId="0" applyFont="1" applyFill="1" applyBorder="1" applyAlignment="1" applyProtection="1">
      <alignment vertical="center"/>
    </xf>
    <xf numFmtId="0" fontId="103" fillId="12" borderId="0" xfId="0" applyFont="1" applyFill="1" applyBorder="1" applyAlignment="1" applyProtection="1">
      <alignment vertical="center"/>
    </xf>
    <xf numFmtId="0" fontId="105" fillId="22" borderId="0" xfId="0" applyFont="1" applyFill="1" applyBorder="1" applyAlignment="1" applyProtection="1">
      <alignment vertical="center"/>
    </xf>
    <xf numFmtId="0" fontId="103" fillId="22" borderId="49" xfId="0" applyFont="1" applyFill="1" applyBorder="1" applyAlignment="1" applyProtection="1">
      <alignment horizontal="center" vertical="center"/>
    </xf>
    <xf numFmtId="0" fontId="102" fillId="9" borderId="0" xfId="0" applyFont="1" applyFill="1" applyBorder="1" applyAlignment="1" applyProtection="1">
      <alignment vertical="center"/>
    </xf>
    <xf numFmtId="0" fontId="38" fillId="22" borderId="50" xfId="0" applyFont="1" applyFill="1" applyBorder="1" applyAlignment="1" applyProtection="1">
      <alignment vertical="center"/>
    </xf>
    <xf numFmtId="0" fontId="103" fillId="22" borderId="50" xfId="0" applyFont="1" applyFill="1" applyBorder="1" applyAlignment="1" applyProtection="1">
      <alignment horizontal="center" vertical="top"/>
    </xf>
    <xf numFmtId="0" fontId="103" fillId="22" borderId="50" xfId="0" applyFont="1" applyFill="1" applyBorder="1" applyAlignment="1" applyProtection="1">
      <alignment vertical="center"/>
    </xf>
    <xf numFmtId="0" fontId="105" fillId="22" borderId="50" xfId="0" applyFont="1" applyFill="1" applyBorder="1" applyAlignment="1" applyProtection="1">
      <alignment vertical="center"/>
    </xf>
    <xf numFmtId="0" fontId="103" fillId="22" borderId="51" xfId="0" applyFont="1" applyFill="1" applyBorder="1" applyAlignment="1" applyProtection="1">
      <alignment horizontal="center" vertical="center"/>
    </xf>
    <xf numFmtId="0" fontId="52" fillId="9" borderId="0" xfId="3" applyFont="1" applyFill="1" applyAlignment="1" applyProtection="1">
      <alignment vertical="center"/>
    </xf>
    <xf numFmtId="0" fontId="50" fillId="7" borderId="58" xfId="0" applyFont="1" applyFill="1" applyBorder="1" applyProtection="1"/>
    <xf numFmtId="0" fontId="38" fillId="7" borderId="58" xfId="0" applyFont="1" applyFill="1" applyBorder="1" applyProtection="1"/>
    <xf numFmtId="0" fontId="102" fillId="9" borderId="0" xfId="0" applyFont="1" applyFill="1" applyBorder="1" applyProtection="1"/>
    <xf numFmtId="0" fontId="102" fillId="9" borderId="0" xfId="0" applyFont="1" applyFill="1" applyProtection="1"/>
    <xf numFmtId="0" fontId="38" fillId="9" borderId="0" xfId="0" applyFont="1" applyFill="1" applyProtection="1"/>
    <xf numFmtId="0" fontId="38" fillId="6" borderId="0" xfId="0" applyFont="1" applyFill="1" applyProtection="1"/>
    <xf numFmtId="0" fontId="40" fillId="7" borderId="2" xfId="0" applyFont="1" applyFill="1" applyBorder="1" applyAlignment="1" applyProtection="1">
      <alignment horizontal="center" vertical="center"/>
    </xf>
    <xf numFmtId="0" fontId="40" fillId="7" borderId="2" xfId="0" applyFont="1" applyFill="1" applyBorder="1" applyAlignment="1" applyProtection="1">
      <alignment horizontal="left" vertical="center"/>
    </xf>
    <xf numFmtId="0" fontId="40" fillId="7" borderId="10" xfId="0" applyFont="1" applyFill="1" applyBorder="1" applyAlignment="1" applyProtection="1">
      <alignment horizontal="center" vertical="center"/>
    </xf>
    <xf numFmtId="0" fontId="40" fillId="7" borderId="2" xfId="0" applyFont="1" applyFill="1" applyBorder="1" applyAlignment="1" applyProtection="1">
      <alignment horizontal="center" vertical="center" wrapText="1"/>
    </xf>
    <xf numFmtId="0" fontId="83" fillId="13" borderId="2" xfId="0" quotePrefix="1" applyFont="1" applyFill="1" applyBorder="1" applyAlignment="1" applyProtection="1">
      <alignment horizontal="center" vertical="top" wrapText="1"/>
    </xf>
    <xf numFmtId="0" fontId="83" fillId="13" borderId="2" xfId="0" applyFont="1" applyFill="1" applyBorder="1" applyAlignment="1" applyProtection="1">
      <alignment vertical="center" wrapText="1"/>
    </xf>
    <xf numFmtId="0" fontId="40" fillId="3" borderId="2" xfId="0" quotePrefix="1" applyFont="1" applyFill="1" applyBorder="1" applyAlignment="1" applyProtection="1">
      <alignment horizontal="center" vertical="center" wrapText="1"/>
    </xf>
    <xf numFmtId="0" fontId="40" fillId="3" borderId="2" xfId="0" applyFont="1" applyFill="1" applyBorder="1" applyAlignment="1" applyProtection="1">
      <alignment vertical="center" wrapText="1"/>
    </xf>
    <xf numFmtId="0" fontId="40" fillId="13" borderId="2" xfId="0" applyFont="1" applyFill="1" applyBorder="1" applyAlignment="1" applyProtection="1">
      <alignment horizontal="center" vertical="center" wrapText="1"/>
    </xf>
    <xf numFmtId="0" fontId="41" fillId="4" borderId="2" xfId="4" applyFont="1" applyFill="1" applyBorder="1" applyAlignment="1" applyProtection="1">
      <alignment horizontal="center" vertical="center" wrapText="1"/>
    </xf>
    <xf numFmtId="0" fontId="41" fillId="4" borderId="2" xfId="4" applyFont="1" applyFill="1" applyBorder="1" applyAlignment="1" applyProtection="1">
      <alignment horizontal="left" vertical="center" wrapText="1"/>
    </xf>
    <xf numFmtId="0" fontId="41" fillId="14" borderId="2" xfId="0" applyFont="1" applyFill="1" applyBorder="1" applyAlignment="1" applyProtection="1">
      <alignment horizontal="center" vertical="center" wrapText="1"/>
    </xf>
    <xf numFmtId="0" fontId="38" fillId="0" borderId="1" xfId="0" applyFont="1" applyFill="1" applyBorder="1" applyAlignment="1" applyProtection="1">
      <alignment horizontal="left" vertical="top"/>
    </xf>
    <xf numFmtId="0" fontId="38" fillId="0" borderId="3" xfId="0" applyFont="1" applyFill="1" applyBorder="1" applyAlignment="1" applyProtection="1">
      <alignment horizontal="center" vertical="center"/>
    </xf>
    <xf numFmtId="0" fontId="103" fillId="9" borderId="0" xfId="0" applyFont="1" applyFill="1" applyBorder="1" applyProtection="1"/>
    <xf numFmtId="0" fontId="38" fillId="0" borderId="1" xfId="0" applyFont="1" applyFill="1" applyBorder="1" applyAlignment="1" applyProtection="1">
      <alignment horizontal="center" vertical="center"/>
    </xf>
    <xf numFmtId="0" fontId="38" fillId="0" borderId="1" xfId="0" applyFont="1" applyFill="1" applyBorder="1" applyAlignment="1" applyProtection="1"/>
    <xf numFmtId="3" fontId="38" fillId="0" borderId="1" xfId="0" applyNumberFormat="1" applyFont="1" applyFill="1" applyBorder="1" applyAlignment="1" applyProtection="1">
      <alignment horizontal="right" vertical="center"/>
    </xf>
    <xf numFmtId="0" fontId="103" fillId="9" borderId="0" xfId="0" applyFont="1" applyFill="1" applyProtection="1"/>
    <xf numFmtId="0" fontId="41" fillId="0" borderId="1" xfId="4" applyFont="1" applyFill="1" applyBorder="1" applyAlignment="1" applyProtection="1">
      <alignment horizontal="center" vertical="center" wrapText="1"/>
    </xf>
    <xf numFmtId="0" fontId="86" fillId="0" borderId="1" xfId="4" applyFont="1" applyFill="1" applyBorder="1" applyAlignment="1" applyProtection="1">
      <alignment vertical="top"/>
    </xf>
    <xf numFmtId="0" fontId="38" fillId="0" borderId="1" xfId="0" applyFont="1" applyFill="1" applyBorder="1" applyAlignment="1" applyProtection="1">
      <alignment horizontal="center" vertical="top"/>
    </xf>
    <xf numFmtId="0" fontId="103" fillId="0" borderId="1" xfId="0" applyFont="1" applyFill="1" applyBorder="1" applyAlignment="1" applyProtection="1">
      <alignment horizontal="center" vertical="top"/>
    </xf>
    <xf numFmtId="0" fontId="103" fillId="0" borderId="1" xfId="0" applyFont="1" applyFill="1" applyBorder="1" applyAlignment="1" applyProtection="1">
      <alignment horizontal="left" vertical="top" wrapText="1"/>
    </xf>
    <xf numFmtId="0" fontId="38" fillId="0" borderId="2" xfId="0" applyFont="1" applyFill="1" applyBorder="1" applyAlignment="1" applyProtection="1">
      <alignment horizontal="center" vertical="top"/>
    </xf>
    <xf numFmtId="0" fontId="41" fillId="5" borderId="3" xfId="4" applyFont="1" applyFill="1" applyBorder="1" applyAlignment="1" applyProtection="1">
      <alignment vertical="center" wrapText="1"/>
    </xf>
    <xf numFmtId="0" fontId="41" fillId="4" borderId="4" xfId="4" applyFont="1" applyFill="1" applyBorder="1" applyAlignment="1" applyProtection="1">
      <alignment horizontal="left" vertical="center" wrapText="1"/>
    </xf>
    <xf numFmtId="0" fontId="41" fillId="5" borderId="5" xfId="4" applyNumberFormat="1" applyFont="1" applyFill="1" applyBorder="1" applyAlignment="1" applyProtection="1">
      <alignment horizontal="center" vertical="center" wrapText="1"/>
    </xf>
    <xf numFmtId="0" fontId="41" fillId="5" borderId="6" xfId="4" applyNumberFormat="1" applyFont="1" applyFill="1" applyBorder="1" applyAlignment="1" applyProtection="1">
      <alignment horizontal="center" vertical="center" wrapText="1"/>
    </xf>
    <xf numFmtId="0" fontId="86" fillId="0" borderId="1" xfId="4" applyFont="1" applyFill="1" applyBorder="1" applyAlignment="1" applyProtection="1">
      <alignment vertical="top" wrapText="1"/>
    </xf>
    <xf numFmtId="3" fontId="38" fillId="11" borderId="1" xfId="0" applyNumberFormat="1" applyFont="1" applyFill="1" applyBorder="1" applyAlignment="1" applyProtection="1">
      <alignment horizontal="right" vertical="center"/>
    </xf>
    <xf numFmtId="3" fontId="38" fillId="16" borderId="1" xfId="0" applyNumberFormat="1" applyFont="1" applyFill="1" applyBorder="1" applyAlignment="1" applyProtection="1">
      <alignment horizontal="right" vertical="center"/>
    </xf>
    <xf numFmtId="0" fontId="86" fillId="0" borderId="1" xfId="0" applyFont="1" applyFill="1" applyBorder="1" applyAlignment="1" applyProtection="1">
      <alignment horizontal="center" vertical="center" wrapText="1"/>
    </xf>
    <xf numFmtId="0" fontId="38" fillId="0" borderId="1" xfId="0" applyFont="1" applyFill="1" applyBorder="1" applyAlignment="1" applyProtection="1">
      <alignment horizontal="left"/>
    </xf>
    <xf numFmtId="0" fontId="41" fillId="4" borderId="3" xfId="4" applyFont="1" applyFill="1" applyBorder="1" applyAlignment="1" applyProtection="1">
      <alignment horizontal="center" vertical="center" wrapText="1"/>
    </xf>
    <xf numFmtId="0" fontId="41" fillId="5" borderId="4" xfId="4" applyFont="1" applyFill="1" applyBorder="1" applyAlignment="1" applyProtection="1">
      <alignment horizontal="left" vertical="center" wrapText="1"/>
    </xf>
    <xf numFmtId="0" fontId="41" fillId="5" borderId="5" xfId="0" applyFont="1" applyFill="1" applyBorder="1" applyAlignment="1" applyProtection="1">
      <alignment horizontal="center" vertical="center" wrapText="1"/>
    </xf>
    <xf numFmtId="0" fontId="41" fillId="5" borderId="6" xfId="0" applyFont="1" applyFill="1" applyBorder="1" applyAlignment="1" applyProtection="1">
      <alignment horizontal="center" vertical="center" wrapText="1"/>
    </xf>
    <xf numFmtId="0" fontId="38" fillId="0" borderId="1" xfId="0" applyFont="1" applyFill="1" applyBorder="1" applyProtection="1"/>
    <xf numFmtId="0" fontId="38" fillId="0" borderId="1" xfId="0" applyFont="1" applyFill="1" applyBorder="1" applyAlignment="1" applyProtection="1">
      <alignment horizontal="left" vertical="top" wrapText="1"/>
    </xf>
    <xf numFmtId="0" fontId="38" fillId="0" borderId="1" xfId="0" applyFont="1" applyFill="1" applyBorder="1" applyAlignment="1" applyProtection="1">
      <alignment vertical="top"/>
    </xf>
    <xf numFmtId="0" fontId="103" fillId="9" borderId="0" xfId="0" applyFont="1" applyFill="1" applyAlignment="1" applyProtection="1">
      <alignment horizontal="center" vertical="top"/>
    </xf>
    <xf numFmtId="0" fontId="40" fillId="9" borderId="0" xfId="0" applyFont="1" applyFill="1" applyBorder="1" applyAlignment="1" applyProtection="1">
      <alignment horizontal="center" vertical="center"/>
    </xf>
    <xf numFmtId="0" fontId="106" fillId="18" borderId="7" xfId="0" applyFont="1" applyFill="1" applyBorder="1" applyProtection="1"/>
    <xf numFmtId="0" fontId="39" fillId="9" borderId="0" xfId="0" applyFont="1" applyFill="1" applyBorder="1" applyAlignment="1" applyProtection="1">
      <alignment horizontal="center" vertical="center"/>
    </xf>
    <xf numFmtId="0" fontId="103" fillId="9" borderId="0" xfId="0" applyFont="1" applyFill="1" applyBorder="1" applyAlignment="1" applyProtection="1">
      <alignment horizontal="center"/>
    </xf>
    <xf numFmtId="0" fontId="45" fillId="9" borderId="0" xfId="0" applyFont="1" applyFill="1" applyBorder="1" applyProtection="1"/>
    <xf numFmtId="0" fontId="45" fillId="6" borderId="0" xfId="0" applyFont="1" applyFill="1" applyBorder="1" applyProtection="1"/>
    <xf numFmtId="3" fontId="59" fillId="16" borderId="1" xfId="0" applyNumberFormat="1" applyFont="1" applyFill="1" applyBorder="1" applyAlignment="1" applyProtection="1">
      <alignment horizontal="right" vertical="center"/>
      <protection locked="0"/>
    </xf>
    <xf numFmtId="0" fontId="78" fillId="26" borderId="0" xfId="0" applyFont="1" applyFill="1" applyProtection="1"/>
    <xf numFmtId="0" fontId="61" fillId="26" borderId="0" xfId="0" applyFont="1" applyFill="1" applyBorder="1" applyAlignment="1" applyProtection="1">
      <alignment vertical="center"/>
    </xf>
    <xf numFmtId="0" fontId="62" fillId="26" borderId="0" xfId="0" applyFont="1" applyFill="1" applyBorder="1" applyAlignment="1" applyProtection="1">
      <alignment vertical="center"/>
    </xf>
    <xf numFmtId="0" fontId="56" fillId="26" borderId="0" xfId="0" applyFont="1" applyFill="1" applyBorder="1" applyAlignment="1" applyProtection="1">
      <alignment horizontal="center" vertical="center" wrapText="1"/>
    </xf>
    <xf numFmtId="0" fontId="56" fillId="26" borderId="0" xfId="0" applyFont="1" applyFill="1" applyBorder="1" applyAlignment="1" applyProtection="1">
      <alignment vertical="center" wrapText="1"/>
    </xf>
    <xf numFmtId="0" fontId="60" fillId="26" borderId="0" xfId="4" applyFont="1" applyFill="1" applyBorder="1" applyAlignment="1" applyProtection="1">
      <alignment horizontal="center" vertical="center" wrapText="1"/>
    </xf>
    <xf numFmtId="0" fontId="57" fillId="12" borderId="0" xfId="0" applyFont="1" applyFill="1" applyAlignment="1" applyProtection="1">
      <alignment horizontal="right" vertical="center"/>
    </xf>
    <xf numFmtId="0" fontId="72" fillId="16" borderId="1" xfId="0" applyFont="1" applyFill="1" applyBorder="1" applyAlignment="1" applyProtection="1">
      <alignment vertical="center"/>
    </xf>
    <xf numFmtId="0" fontId="67" fillId="26" borderId="58" xfId="0" applyFont="1" applyFill="1" applyBorder="1" applyProtection="1"/>
    <xf numFmtId="0" fontId="9" fillId="26" borderId="58" xfId="0" applyFont="1" applyFill="1" applyBorder="1" applyProtection="1"/>
    <xf numFmtId="0" fontId="9" fillId="9" borderId="19" xfId="0" applyFont="1" applyFill="1" applyBorder="1" applyProtection="1"/>
    <xf numFmtId="0" fontId="56" fillId="26" borderId="2" xfId="0" applyFont="1" applyFill="1" applyBorder="1" applyAlignment="1" applyProtection="1">
      <alignment horizontal="center" vertical="center"/>
    </xf>
    <xf numFmtId="0" fontId="56" fillId="26" borderId="2" xfId="0" applyFont="1" applyFill="1" applyBorder="1" applyAlignment="1" applyProtection="1">
      <alignment horizontal="left" vertical="center"/>
    </xf>
    <xf numFmtId="0" fontId="56" fillId="26" borderId="10" xfId="0" applyFont="1" applyFill="1" applyBorder="1" applyAlignment="1" applyProtection="1">
      <alignment horizontal="center" vertical="center"/>
    </xf>
    <xf numFmtId="0" fontId="56" fillId="26" borderId="2" xfId="0" applyFont="1" applyFill="1" applyBorder="1" applyAlignment="1" applyProtection="1">
      <alignment horizontal="center" vertical="center" wrapText="1"/>
    </xf>
    <xf numFmtId="0" fontId="56" fillId="9" borderId="19" xfId="0" applyFont="1" applyFill="1" applyBorder="1" applyAlignment="1" applyProtection="1">
      <alignment horizontal="center" vertical="center" wrapText="1"/>
    </xf>
    <xf numFmtId="0" fontId="56" fillId="9" borderId="8" xfId="0" applyFont="1" applyFill="1" applyBorder="1" applyAlignment="1" applyProtection="1">
      <alignment horizontal="center" vertical="center" wrapText="1"/>
    </xf>
    <xf numFmtId="0" fontId="85" fillId="0" borderId="1" xfId="0" applyFont="1" applyFill="1" applyBorder="1" applyAlignment="1" applyProtection="1">
      <alignment horizontal="left" vertical="top"/>
    </xf>
    <xf numFmtId="0" fontId="85" fillId="0" borderId="1" xfId="0" applyFont="1" applyFill="1" applyBorder="1" applyAlignment="1" applyProtection="1">
      <alignment horizontal="center" vertical="center" wrapText="1"/>
    </xf>
    <xf numFmtId="0" fontId="68" fillId="0" borderId="1" xfId="4" applyFont="1" applyFill="1" applyBorder="1" applyAlignment="1" applyProtection="1">
      <alignment horizontal="center" vertical="top" wrapText="1"/>
    </xf>
    <xf numFmtId="0" fontId="68" fillId="4" borderId="4" xfId="4" applyFont="1" applyFill="1" applyBorder="1" applyAlignment="1" applyProtection="1">
      <alignment horizontal="left" vertical="center" wrapText="1"/>
    </xf>
    <xf numFmtId="0" fontId="59" fillId="0" borderId="1" xfId="4" applyFont="1" applyFill="1" applyBorder="1" applyAlignment="1" applyProtection="1">
      <alignment vertical="top" wrapText="1"/>
    </xf>
    <xf numFmtId="0" fontId="85" fillId="0" borderId="7" xfId="0" applyFont="1" applyFill="1" applyBorder="1" applyAlignment="1" applyProtection="1">
      <alignment horizontal="center" vertical="center" wrapText="1"/>
    </xf>
    <xf numFmtId="3" fontId="9" fillId="11" borderId="1" xfId="0" applyNumberFormat="1" applyFont="1" applyFill="1" applyBorder="1" applyAlignment="1" applyProtection="1">
      <alignment horizontal="right"/>
    </xf>
    <xf numFmtId="0" fontId="68" fillId="14" borderId="4" xfId="4" applyFont="1" applyFill="1" applyBorder="1" applyAlignment="1" applyProtection="1">
      <alignment horizontal="left" vertical="center" wrapText="1"/>
    </xf>
    <xf numFmtId="0" fontId="9" fillId="0" borderId="1" xfId="0" applyFont="1" applyFill="1" applyBorder="1" applyProtection="1"/>
    <xf numFmtId="0" fontId="9" fillId="0" borderId="7" xfId="0" applyFont="1" applyFill="1" applyBorder="1" applyAlignment="1" applyProtection="1">
      <alignment horizontal="left" vertical="top" wrapText="1"/>
    </xf>
    <xf numFmtId="3" fontId="9" fillId="0" borderId="7" xfId="0" applyNumberFormat="1" applyFont="1" applyFill="1" applyBorder="1" applyAlignment="1" applyProtection="1">
      <alignment horizontal="right" vertical="center"/>
    </xf>
    <xf numFmtId="0" fontId="9" fillId="9" borderId="17" xfId="0" applyFont="1" applyFill="1" applyBorder="1" applyProtection="1"/>
    <xf numFmtId="0" fontId="67" fillId="26" borderId="7" xfId="0" applyFont="1" applyFill="1" applyBorder="1" applyProtection="1"/>
    <xf numFmtId="0" fontId="78" fillId="23" borderId="0" xfId="0" applyFont="1" applyFill="1" applyProtection="1"/>
    <xf numFmtId="0" fontId="61" fillId="23" borderId="0" xfId="0" applyFont="1" applyFill="1" applyBorder="1" applyAlignment="1" applyProtection="1">
      <alignment vertical="center"/>
    </xf>
    <xf numFmtId="0" fontId="62" fillId="23" borderId="0" xfId="0" applyFont="1" applyFill="1" applyBorder="1" applyAlignment="1" applyProtection="1">
      <alignment vertical="center"/>
    </xf>
    <xf numFmtId="0" fontId="56" fillId="23" borderId="0" xfId="0" applyFont="1" applyFill="1" applyBorder="1" applyAlignment="1" applyProtection="1">
      <alignment horizontal="center" vertical="center" wrapText="1"/>
    </xf>
    <xf numFmtId="0" fontId="56" fillId="23" borderId="0" xfId="0" applyFont="1" applyFill="1" applyBorder="1" applyAlignment="1" applyProtection="1">
      <alignment vertical="center" wrapText="1"/>
    </xf>
    <xf numFmtId="0" fontId="60" fillId="23" borderId="0" xfId="4" applyFont="1" applyFill="1" applyBorder="1" applyAlignment="1" applyProtection="1">
      <alignment horizontal="center" vertical="center" wrapText="1"/>
    </xf>
    <xf numFmtId="0" fontId="30" fillId="9" borderId="0" xfId="0" applyFont="1" applyFill="1" applyAlignment="1" applyProtection="1">
      <alignment vertical="center"/>
    </xf>
    <xf numFmtId="0" fontId="30" fillId="22" borderId="48" xfId="0" applyFont="1" applyFill="1" applyBorder="1" applyAlignment="1" applyProtection="1">
      <alignment vertical="center"/>
    </xf>
    <xf numFmtId="0" fontId="30" fillId="9" borderId="0" xfId="0" applyFont="1" applyFill="1" applyAlignment="1" applyProtection="1">
      <alignment horizontal="center" vertical="center"/>
    </xf>
    <xf numFmtId="0" fontId="35" fillId="12" borderId="0" xfId="0" applyFont="1" applyFill="1" applyAlignment="1" applyProtection="1">
      <alignment vertical="center"/>
    </xf>
    <xf numFmtId="0" fontId="58" fillId="22" borderId="0" xfId="0" applyFont="1" applyFill="1" applyBorder="1" applyAlignment="1" applyProtection="1">
      <alignment vertical="center"/>
    </xf>
    <xf numFmtId="0" fontId="30" fillId="22" borderId="49" xfId="0" applyFont="1" applyFill="1" applyBorder="1" applyAlignment="1" applyProtection="1">
      <alignment horizontal="center" vertical="center"/>
    </xf>
    <xf numFmtId="0" fontId="58" fillId="22" borderId="50" xfId="0" applyFont="1" applyFill="1" applyBorder="1" applyAlignment="1" applyProtection="1">
      <alignment vertical="center"/>
    </xf>
    <xf numFmtId="0" fontId="30" fillId="22" borderId="51" xfId="0" applyFont="1" applyFill="1" applyBorder="1" applyAlignment="1" applyProtection="1">
      <alignment horizontal="center" vertical="center"/>
    </xf>
    <xf numFmtId="0" fontId="67" fillId="23" borderId="0" xfId="0" applyFont="1" applyFill="1" applyBorder="1" applyProtection="1"/>
    <xf numFmtId="0" fontId="30" fillId="23" borderId="0" xfId="0" applyFont="1" applyFill="1" applyBorder="1" applyProtection="1"/>
    <xf numFmtId="0" fontId="58" fillId="9" borderId="0" xfId="0" applyFont="1" applyFill="1" applyBorder="1" applyProtection="1"/>
    <xf numFmtId="0" fontId="30" fillId="9" borderId="0" xfId="0" applyFont="1" applyFill="1" applyBorder="1" applyProtection="1"/>
    <xf numFmtId="0" fontId="30" fillId="9" borderId="0" xfId="0" applyFont="1" applyFill="1" applyProtection="1"/>
    <xf numFmtId="0" fontId="83" fillId="23" borderId="2" xfId="0" applyFont="1" applyFill="1" applyBorder="1" applyAlignment="1" applyProtection="1">
      <alignment horizontal="center" vertical="center"/>
    </xf>
    <xf numFmtId="0" fontId="83" fillId="23" borderId="2" xfId="0" applyFont="1" applyFill="1" applyBorder="1" applyAlignment="1" applyProtection="1">
      <alignment horizontal="left" vertical="center"/>
    </xf>
    <xf numFmtId="0" fontId="83" fillId="23" borderId="10" xfId="0" applyFont="1" applyFill="1" applyBorder="1" applyAlignment="1" applyProtection="1">
      <alignment horizontal="center" vertical="center"/>
    </xf>
    <xf numFmtId="0" fontId="56" fillId="23" borderId="2" xfId="0" applyFont="1" applyFill="1" applyBorder="1" applyAlignment="1" applyProtection="1">
      <alignment horizontal="center" vertical="center" wrapText="1"/>
    </xf>
    <xf numFmtId="0" fontId="83" fillId="9" borderId="0" xfId="0" applyFont="1" applyFill="1" applyBorder="1" applyAlignment="1" applyProtection="1">
      <alignment horizontal="center" vertical="center" wrapText="1"/>
    </xf>
    <xf numFmtId="0" fontId="30" fillId="0" borderId="7" xfId="0" applyFont="1" applyFill="1" applyBorder="1" applyAlignment="1" applyProtection="1">
      <alignment horizontal="center" vertical="top"/>
    </xf>
    <xf numFmtId="0" fontId="30" fillId="0" borderId="7" xfId="0" applyFont="1" applyFill="1" applyBorder="1" applyAlignment="1" applyProtection="1">
      <alignment vertical="center"/>
    </xf>
    <xf numFmtId="0" fontId="30" fillId="0" borderId="15" xfId="0" applyFont="1" applyFill="1" applyBorder="1" applyAlignment="1" applyProtection="1">
      <alignment horizontal="center" vertical="center"/>
    </xf>
    <xf numFmtId="0" fontId="56" fillId="9" borderId="0" xfId="0" applyFont="1" applyFill="1" applyBorder="1" applyAlignment="1" applyProtection="1">
      <alignment horizontal="center" vertical="center"/>
    </xf>
    <xf numFmtId="0" fontId="30" fillId="0" borderId="1" xfId="0" applyFont="1" applyFill="1" applyBorder="1" applyAlignment="1" applyProtection="1">
      <alignment horizontal="center" vertical="top"/>
    </xf>
    <xf numFmtId="0" fontId="30" fillId="0" borderId="1" xfId="0" applyFont="1" applyFill="1" applyBorder="1" applyAlignment="1" applyProtection="1">
      <alignment vertical="top"/>
    </xf>
    <xf numFmtId="3" fontId="30" fillId="16" borderId="1" xfId="0" applyNumberFormat="1" applyFont="1" applyFill="1" applyBorder="1" applyAlignment="1" applyProtection="1">
      <alignment horizontal="right" vertical="top"/>
    </xf>
    <xf numFmtId="3" fontId="30" fillId="0" borderId="1" xfId="0" applyNumberFormat="1" applyFont="1" applyFill="1" applyBorder="1" applyAlignment="1" applyProtection="1">
      <alignment horizontal="right" vertical="top"/>
    </xf>
    <xf numFmtId="0" fontId="72" fillId="0" borderId="7" xfId="0" applyFont="1" applyFill="1" applyBorder="1" applyAlignment="1" applyProtection="1">
      <alignment vertical="center"/>
    </xf>
    <xf numFmtId="0" fontId="72" fillId="0" borderId="22" xfId="0" applyFont="1" applyFill="1" applyBorder="1" applyAlignment="1" applyProtection="1">
      <alignment vertical="center"/>
    </xf>
    <xf numFmtId="0" fontId="30" fillId="0" borderId="1" xfId="0" applyFont="1" applyFill="1" applyBorder="1" applyAlignment="1" applyProtection="1"/>
    <xf numFmtId="3" fontId="59" fillId="16" borderId="1" xfId="4" applyNumberFormat="1" applyFont="1" applyFill="1" applyBorder="1" applyAlignment="1" applyProtection="1">
      <alignment horizontal="right" vertical="center" wrapText="1"/>
    </xf>
    <xf numFmtId="0" fontId="72" fillId="0" borderId="7" xfId="0" applyFont="1" applyFill="1" applyBorder="1" applyAlignment="1" applyProtection="1">
      <alignment horizontal="left" vertical="center"/>
    </xf>
    <xf numFmtId="0" fontId="72" fillId="0" borderId="1" xfId="0" applyFont="1" applyFill="1" applyBorder="1" applyAlignment="1" applyProtection="1">
      <alignment horizontal="left" vertical="center"/>
    </xf>
    <xf numFmtId="0" fontId="30" fillId="0" borderId="19" xfId="0" applyFont="1" applyFill="1" applyBorder="1" applyAlignment="1" applyProtection="1">
      <alignment horizontal="center" vertical="center"/>
    </xf>
    <xf numFmtId="0" fontId="30" fillId="0" borderId="3" xfId="0" applyFont="1" applyFill="1" applyBorder="1" applyAlignment="1" applyProtection="1">
      <alignment horizontal="center"/>
    </xf>
    <xf numFmtId="0" fontId="72" fillId="0" borderId="23" xfId="0" applyFont="1" applyFill="1" applyBorder="1" applyAlignment="1" applyProtection="1">
      <alignment vertical="center"/>
    </xf>
    <xf numFmtId="0" fontId="72" fillId="0" borderId="24" xfId="0" applyFont="1" applyFill="1" applyBorder="1" applyAlignment="1" applyProtection="1">
      <alignment vertical="center"/>
    </xf>
    <xf numFmtId="0" fontId="30" fillId="0" borderId="1" xfId="0" applyFont="1" applyFill="1" applyBorder="1" applyAlignment="1" applyProtection="1">
      <alignment horizontal="left" vertical="top"/>
    </xf>
    <xf numFmtId="3" fontId="30" fillId="11" borderId="1" xfId="0" applyNumberFormat="1" applyFont="1" applyFill="1" applyBorder="1" applyAlignment="1" applyProtection="1">
      <alignment horizontal="right" vertical="center"/>
    </xf>
    <xf numFmtId="0" fontId="72" fillId="0" borderId="24" xfId="0" applyFont="1" applyFill="1" applyBorder="1" applyAlignment="1" applyProtection="1">
      <alignment horizontal="left" vertical="top"/>
    </xf>
    <xf numFmtId="3" fontId="30" fillId="0" borderId="1" xfId="0" applyNumberFormat="1" applyFont="1" applyFill="1" applyBorder="1" applyAlignment="1" applyProtection="1">
      <alignment horizontal="right" vertical="center"/>
    </xf>
    <xf numFmtId="3" fontId="30" fillId="11" borderId="1" xfId="0" applyNumberFormat="1" applyFont="1" applyFill="1" applyBorder="1" applyAlignment="1" applyProtection="1">
      <alignment horizontal="right" vertical="top"/>
    </xf>
    <xf numFmtId="0" fontId="72" fillId="0" borderId="15" xfId="0" applyFont="1" applyFill="1" applyBorder="1" applyAlignment="1" applyProtection="1">
      <alignment horizontal="center" vertical="center" wrapText="1"/>
    </xf>
    <xf numFmtId="3" fontId="30" fillId="9" borderId="0" xfId="0" applyNumberFormat="1" applyFont="1" applyFill="1" applyBorder="1" applyProtection="1"/>
    <xf numFmtId="0" fontId="72" fillId="0" borderId="26" xfId="0" applyFont="1" applyFill="1" applyBorder="1" applyAlignment="1" applyProtection="1">
      <alignment horizontal="left" vertical="top"/>
    </xf>
    <xf numFmtId="0" fontId="72" fillId="0" borderId="27" xfId="0" applyFont="1" applyFill="1" applyBorder="1" applyAlignment="1" applyProtection="1">
      <alignment horizontal="left" vertical="top"/>
    </xf>
    <xf numFmtId="0" fontId="72" fillId="0" borderId="1" xfId="0" applyFont="1" applyFill="1" applyBorder="1" applyAlignment="1" applyProtection="1">
      <alignment vertical="center"/>
    </xf>
    <xf numFmtId="0" fontId="59" fillId="0" borderId="3" xfId="0" applyFont="1" applyFill="1" applyBorder="1" applyAlignment="1" applyProtection="1">
      <alignment horizontal="center" vertical="center" wrapText="1"/>
    </xf>
    <xf numFmtId="3" fontId="30" fillId="9" borderId="0" xfId="0" applyNumberFormat="1" applyFont="1" applyFill="1" applyProtection="1"/>
    <xf numFmtId="0" fontId="67" fillId="23" borderId="7" xfId="0" applyFont="1" applyFill="1" applyBorder="1" applyProtection="1"/>
    <xf numFmtId="3" fontId="59" fillId="10" borderId="1" xfId="0" applyNumberFormat="1" applyFont="1" applyFill="1" applyBorder="1" applyAlignment="1" applyProtection="1">
      <alignment vertical="center"/>
      <protection locked="0"/>
    </xf>
    <xf numFmtId="0" fontId="70" fillId="15" borderId="0" xfId="0" applyFont="1" applyFill="1" applyBorder="1" applyAlignment="1" applyProtection="1">
      <alignment vertical="center"/>
    </xf>
    <xf numFmtId="0" fontId="61" fillId="15" borderId="0" xfId="0" applyFont="1" applyFill="1" applyBorder="1" applyAlignment="1" applyProtection="1">
      <alignment vertical="top"/>
    </xf>
    <xf numFmtId="0" fontId="61" fillId="15" borderId="0" xfId="0" applyFont="1" applyFill="1" applyBorder="1" applyAlignment="1" applyProtection="1">
      <alignment vertical="center"/>
    </xf>
    <xf numFmtId="0" fontId="57" fillId="15" borderId="0" xfId="0" applyFont="1" applyFill="1" applyBorder="1" applyAlignment="1" applyProtection="1">
      <alignment horizontal="center" vertical="center" wrapText="1"/>
    </xf>
    <xf numFmtId="0" fontId="57" fillId="15" borderId="0" xfId="0" applyFont="1" applyFill="1" applyBorder="1" applyAlignment="1" applyProtection="1">
      <alignment horizontal="center" vertical="top" wrapText="1"/>
    </xf>
    <xf numFmtId="0" fontId="57" fillId="15" borderId="0" xfId="0" applyFont="1" applyFill="1" applyBorder="1" applyAlignment="1" applyProtection="1">
      <alignment vertical="center" wrapText="1"/>
    </xf>
    <xf numFmtId="0" fontId="70" fillId="15" borderId="0" xfId="4" applyFont="1" applyFill="1" applyBorder="1" applyAlignment="1" applyProtection="1">
      <alignment horizontal="center" vertical="center" wrapText="1"/>
    </xf>
    <xf numFmtId="0" fontId="24" fillId="12" borderId="0" xfId="0" applyFont="1" applyFill="1" applyAlignment="1" applyProtection="1">
      <alignment vertical="top"/>
    </xf>
    <xf numFmtId="0" fontId="57" fillId="22" borderId="62" xfId="0" applyFont="1" applyFill="1" applyBorder="1" applyAlignment="1" applyProtection="1">
      <alignment horizontal="right" vertical="center"/>
    </xf>
    <xf numFmtId="0" fontId="38" fillId="10" borderId="63" xfId="0" applyFont="1" applyFill="1" applyBorder="1" applyAlignment="1" applyProtection="1">
      <alignment horizontal="center" vertical="center"/>
    </xf>
    <xf numFmtId="0" fontId="24" fillId="22" borderId="48" xfId="0" applyFont="1" applyFill="1" applyBorder="1" applyAlignment="1" applyProtection="1">
      <alignment vertical="center"/>
    </xf>
    <xf numFmtId="0" fontId="24" fillId="22" borderId="64" xfId="0" applyFont="1" applyFill="1" applyBorder="1" applyAlignment="1" applyProtection="1">
      <alignment vertical="center"/>
    </xf>
    <xf numFmtId="0" fontId="24" fillId="22" borderId="49" xfId="0" applyFont="1" applyFill="1" applyBorder="1" applyAlignment="1" applyProtection="1">
      <alignment horizontal="center" vertical="center"/>
    </xf>
    <xf numFmtId="0" fontId="24" fillId="22" borderId="65" xfId="0" applyFont="1" applyFill="1" applyBorder="1" applyAlignment="1" applyProtection="1">
      <alignment vertical="center"/>
    </xf>
    <xf numFmtId="3" fontId="29" fillId="25" borderId="66" xfId="0" applyNumberFormat="1" applyFont="1" applyFill="1" applyBorder="1" applyAlignment="1" applyProtection="1">
      <alignment horizontal="right" vertical="center"/>
    </xf>
    <xf numFmtId="0" fontId="14" fillId="22" borderId="50" xfId="0" applyFont="1" applyFill="1" applyBorder="1" applyAlignment="1" applyProtection="1">
      <alignment vertical="center"/>
    </xf>
    <xf numFmtId="0" fontId="24" fillId="22" borderId="50" xfId="0" applyFont="1" applyFill="1" applyBorder="1" applyAlignment="1" applyProtection="1">
      <alignment horizontal="center" vertical="center"/>
    </xf>
    <xf numFmtId="0" fontId="24" fillId="22" borderId="51" xfId="0" applyFont="1" applyFill="1" applyBorder="1" applyAlignment="1" applyProtection="1">
      <alignment vertical="center"/>
    </xf>
    <xf numFmtId="0" fontId="71" fillId="15" borderId="15" xfId="0" applyFont="1" applyFill="1" applyBorder="1" applyAlignment="1" applyProtection="1">
      <alignment horizontal="left" vertical="center"/>
    </xf>
    <xf numFmtId="0" fontId="63" fillId="15" borderId="17" xfId="0" applyFont="1" applyFill="1" applyBorder="1" applyAlignment="1" applyProtection="1">
      <alignment vertical="top"/>
    </xf>
    <xf numFmtId="0" fontId="71" fillId="15" borderId="17" xfId="0" applyFont="1" applyFill="1" applyBorder="1" applyAlignment="1" applyProtection="1">
      <alignment horizontal="left" vertical="center"/>
    </xf>
    <xf numFmtId="0" fontId="71" fillId="15" borderId="16" xfId="0" applyFont="1" applyFill="1" applyBorder="1" applyAlignment="1" applyProtection="1">
      <alignment horizontal="left" vertical="center"/>
    </xf>
    <xf numFmtId="0" fontId="67" fillId="12" borderId="0" xfId="0" applyFont="1" applyFill="1" applyBorder="1" applyAlignment="1" applyProtection="1">
      <alignment horizontal="center" vertical="center" wrapText="1"/>
    </xf>
    <xf numFmtId="0" fontId="67" fillId="13" borderId="19" xfId="0" applyFont="1" applyFill="1" applyBorder="1" applyAlignment="1" applyProtection="1">
      <alignment horizontal="left" vertical="top"/>
    </xf>
    <xf numFmtId="0" fontId="67" fillId="13" borderId="0" xfId="0" applyFont="1" applyFill="1" applyBorder="1" applyAlignment="1" applyProtection="1">
      <alignment horizontal="left" vertical="center" wrapText="1"/>
    </xf>
    <xf numFmtId="0" fontId="67" fillId="13" borderId="61" xfId="0" applyFont="1" applyFill="1" applyBorder="1" applyAlignment="1" applyProtection="1">
      <alignment horizontal="left" vertical="center" wrapText="1"/>
    </xf>
    <xf numFmtId="0" fontId="64" fillId="4" borderId="15" xfId="4" applyFont="1" applyFill="1" applyBorder="1" applyAlignment="1" applyProtection="1">
      <alignment horizontal="left" vertical="center"/>
    </xf>
    <xf numFmtId="0" fontId="64" fillId="4" borderId="16" xfId="4" applyFont="1" applyFill="1" applyBorder="1" applyAlignment="1" applyProtection="1">
      <alignment horizontal="left" vertical="center" wrapText="1"/>
    </xf>
    <xf numFmtId="0" fontId="24" fillId="15" borderId="0" xfId="0" applyFont="1" applyFill="1" applyBorder="1" applyAlignment="1" applyProtection="1">
      <alignment vertical="center" wrapText="1"/>
    </xf>
    <xf numFmtId="0" fontId="57" fillId="15" borderId="8" xfId="0" applyFont="1" applyFill="1" applyBorder="1" applyAlignment="1" applyProtection="1">
      <alignment horizontal="center"/>
    </xf>
    <xf numFmtId="0" fontId="57" fillId="15" borderId="8" xfId="0" applyFont="1" applyFill="1" applyBorder="1" applyAlignment="1" applyProtection="1">
      <alignment horizontal="left" vertical="center" wrapText="1"/>
    </xf>
    <xf numFmtId="0" fontId="57" fillId="15" borderId="8" xfId="0" applyFont="1" applyFill="1" applyBorder="1" applyAlignment="1" applyProtection="1">
      <alignment horizontal="left" vertical="center"/>
    </xf>
    <xf numFmtId="0" fontId="57" fillId="15" borderId="8" xfId="0" applyFont="1" applyFill="1" applyBorder="1" applyAlignment="1" applyProtection="1">
      <alignment horizontal="center" vertical="center" wrapText="1"/>
    </xf>
    <xf numFmtId="0" fontId="56" fillId="13" borderId="10" xfId="0" applyFont="1" applyFill="1" applyBorder="1" applyAlignment="1" applyProtection="1">
      <alignment horizontal="center" vertical="center" wrapText="1"/>
    </xf>
    <xf numFmtId="0" fontId="24" fillId="12" borderId="0" xfId="0" applyFont="1" applyFill="1" applyBorder="1" applyAlignment="1" applyProtection="1">
      <alignment vertical="center"/>
    </xf>
    <xf numFmtId="0" fontId="24" fillId="17" borderId="7" xfId="0" applyFont="1" applyFill="1" applyBorder="1" applyAlignment="1" applyProtection="1">
      <alignment vertical="top" wrapText="1"/>
    </xf>
    <xf numFmtId="0" fontId="24" fillId="0" borderId="1" xfId="0" applyFont="1" applyFill="1" applyBorder="1" applyAlignment="1" applyProtection="1">
      <alignment horizontal="center"/>
    </xf>
    <xf numFmtId="0" fontId="24" fillId="0" borderId="1" xfId="0" applyFont="1" applyFill="1" applyBorder="1" applyAlignment="1" applyProtection="1"/>
    <xf numFmtId="0" fontId="24" fillId="0" borderId="1" xfId="0" applyFont="1" applyFill="1" applyBorder="1" applyAlignment="1" applyProtection="1">
      <alignment horizontal="center" vertical="center"/>
    </xf>
    <xf numFmtId="3" fontId="24" fillId="0" borderId="6" xfId="0" applyNumberFormat="1" applyFont="1" applyFill="1" applyBorder="1" applyAlignment="1" applyProtection="1">
      <alignment horizontal="right" vertical="center"/>
    </xf>
    <xf numFmtId="0" fontId="24" fillId="9" borderId="18" xfId="0" applyFont="1" applyFill="1" applyBorder="1" applyAlignment="1" applyProtection="1">
      <alignment horizontal="center"/>
    </xf>
    <xf numFmtId="0" fontId="24" fillId="17" borderId="8" xfId="0" applyFont="1" applyFill="1" applyBorder="1" applyAlignment="1" applyProtection="1">
      <alignment vertical="top"/>
    </xf>
    <xf numFmtId="0" fontId="24" fillId="17" borderId="8" xfId="0" applyFont="1" applyFill="1" applyBorder="1" applyAlignment="1" applyProtection="1">
      <alignment vertical="top" wrapText="1"/>
    </xf>
    <xf numFmtId="0" fontId="24" fillId="17" borderId="35" xfId="0" applyFont="1" applyFill="1" applyBorder="1" applyAlignment="1" applyProtection="1">
      <alignment vertical="top"/>
    </xf>
    <xf numFmtId="0" fontId="24" fillId="17" borderId="35" xfId="0" applyFont="1" applyFill="1" applyBorder="1" applyAlignment="1" applyProtection="1">
      <alignment vertical="top" wrapText="1"/>
    </xf>
    <xf numFmtId="3" fontId="59" fillId="16" borderId="1" xfId="4" applyNumberFormat="1" applyFont="1" applyFill="1" applyBorder="1" applyAlignment="1" applyProtection="1">
      <alignment horizontal="right" vertical="top" wrapText="1"/>
    </xf>
    <xf numFmtId="0" fontId="24" fillId="0" borderId="1" xfId="0" applyFont="1" applyFill="1" applyBorder="1" applyAlignment="1" applyProtection="1">
      <alignment horizontal="left"/>
    </xf>
    <xf numFmtId="0" fontId="24" fillId="0" borderId="1" xfId="0" applyFont="1" applyFill="1" applyBorder="1" applyProtection="1"/>
    <xf numFmtId="3" fontId="24" fillId="11" borderId="6" xfId="0" applyNumberFormat="1" applyFont="1" applyFill="1" applyBorder="1" applyAlignment="1" applyProtection="1">
      <alignment horizontal="right" vertical="center"/>
    </xf>
    <xf numFmtId="0" fontId="24" fillId="0" borderId="1" xfId="0" applyFont="1" applyFill="1" applyBorder="1" applyAlignment="1" applyProtection="1">
      <alignment wrapText="1"/>
    </xf>
    <xf numFmtId="0" fontId="24" fillId="9" borderId="0" xfId="0" applyFont="1" applyFill="1" applyAlignment="1" applyProtection="1">
      <alignment horizontal="center"/>
    </xf>
    <xf numFmtId="0" fontId="24" fillId="9" borderId="0" xfId="0" applyFont="1" applyFill="1" applyAlignment="1" applyProtection="1">
      <alignment horizontal="left"/>
    </xf>
    <xf numFmtId="0" fontId="24" fillId="9" borderId="0" xfId="0" applyFont="1" applyFill="1" applyBorder="1" applyProtection="1"/>
    <xf numFmtId="0" fontId="24" fillId="9" borderId="0" xfId="0" applyFont="1" applyFill="1" applyAlignment="1" applyProtection="1">
      <alignment vertical="top"/>
    </xf>
    <xf numFmtId="3" fontId="37" fillId="19" borderId="17" xfId="0" applyNumberFormat="1" applyFont="1" applyFill="1" applyBorder="1" applyAlignment="1" applyProtection="1">
      <alignment horizontal="center" vertical="center"/>
      <protection locked="0"/>
    </xf>
    <xf numFmtId="3" fontId="37" fillId="19" borderId="16" xfId="0" applyNumberFormat="1" applyFont="1" applyFill="1" applyBorder="1" applyAlignment="1" applyProtection="1">
      <alignment horizontal="center" vertical="center"/>
      <protection locked="0"/>
    </xf>
    <xf numFmtId="3" fontId="37" fillId="11" borderId="0" xfId="0" applyNumberFormat="1" applyFont="1" applyFill="1" applyBorder="1" applyAlignment="1" applyProtection="1">
      <alignment horizontal="center" vertical="center"/>
      <protection locked="0"/>
    </xf>
    <xf numFmtId="3" fontId="37" fillId="19" borderId="0" xfId="0" applyNumberFormat="1" applyFont="1" applyFill="1" applyBorder="1" applyAlignment="1" applyProtection="1">
      <alignment horizontal="center" vertical="center"/>
      <protection locked="0"/>
    </xf>
    <xf numFmtId="3" fontId="23" fillId="19" borderId="18" xfId="0" applyNumberFormat="1" applyFont="1" applyFill="1" applyBorder="1" applyAlignment="1" applyProtection="1">
      <alignment horizontal="center" vertical="center"/>
      <protection locked="0"/>
    </xf>
    <xf numFmtId="3" fontId="37" fillId="19" borderId="18" xfId="0" applyNumberFormat="1" applyFont="1" applyFill="1" applyBorder="1" applyAlignment="1" applyProtection="1">
      <alignment horizontal="center" vertical="center"/>
      <protection locked="0"/>
    </xf>
    <xf numFmtId="3" fontId="37" fillId="19" borderId="41" xfId="0" applyNumberFormat="1" applyFont="1" applyFill="1" applyBorder="1" applyAlignment="1" applyProtection="1">
      <alignment horizontal="center" vertical="center"/>
      <protection locked="0"/>
    </xf>
    <xf numFmtId="3" fontId="37" fillId="19" borderId="42" xfId="0" applyNumberFormat="1" applyFont="1" applyFill="1" applyBorder="1" applyAlignment="1" applyProtection="1">
      <alignment horizontal="center" vertical="center"/>
      <protection locked="0"/>
    </xf>
    <xf numFmtId="3" fontId="59" fillId="19" borderId="41" xfId="0" applyNumberFormat="1" applyFont="1" applyFill="1" applyBorder="1" applyAlignment="1" applyProtection="1">
      <alignment horizontal="center" vertical="center"/>
      <protection locked="0"/>
    </xf>
    <xf numFmtId="3" fontId="59" fillId="19" borderId="42" xfId="0" applyNumberFormat="1" applyFont="1" applyFill="1" applyBorder="1" applyAlignment="1" applyProtection="1">
      <alignment horizontal="center" vertical="center"/>
      <protection locked="0"/>
    </xf>
    <xf numFmtId="3" fontId="59" fillId="19" borderId="0" xfId="0" applyNumberFormat="1" applyFont="1" applyFill="1" applyBorder="1" applyAlignment="1" applyProtection="1">
      <alignment horizontal="center" vertical="center"/>
      <protection locked="0"/>
    </xf>
    <xf numFmtId="3" fontId="59" fillId="19" borderId="18" xfId="0" applyNumberFormat="1" applyFont="1" applyFill="1" applyBorder="1" applyAlignment="1" applyProtection="1">
      <alignment horizontal="center" vertical="center"/>
      <protection locked="0"/>
    </xf>
    <xf numFmtId="3" fontId="59" fillId="19" borderId="17" xfId="0" applyNumberFormat="1" applyFont="1" applyFill="1" applyBorder="1" applyAlignment="1" applyProtection="1">
      <alignment horizontal="center" vertical="center"/>
      <protection locked="0"/>
    </xf>
    <xf numFmtId="3" fontId="59" fillId="19" borderId="16" xfId="0" applyNumberFormat="1" applyFont="1" applyFill="1" applyBorder="1" applyAlignment="1" applyProtection="1">
      <alignment horizontal="center" vertical="center"/>
      <protection locked="0"/>
    </xf>
    <xf numFmtId="3" fontId="37" fillId="11" borderId="17" xfId="0" applyNumberFormat="1" applyFont="1" applyFill="1" applyBorder="1" applyAlignment="1" applyProtection="1">
      <alignment horizontal="center" vertical="center"/>
      <protection locked="0"/>
    </xf>
    <xf numFmtId="3" fontId="37" fillId="11" borderId="18" xfId="0" applyNumberFormat="1" applyFont="1" applyFill="1" applyBorder="1" applyAlignment="1" applyProtection="1">
      <alignment horizontal="center" vertical="center"/>
      <protection locked="0"/>
    </xf>
    <xf numFmtId="3" fontId="37" fillId="11" borderId="16" xfId="0" applyNumberFormat="1" applyFont="1" applyFill="1" applyBorder="1" applyAlignment="1" applyProtection="1">
      <alignment horizontal="center" vertical="center"/>
      <protection locked="0"/>
    </xf>
    <xf numFmtId="3" fontId="59" fillId="11" borderId="0" xfId="0" applyNumberFormat="1" applyFont="1" applyFill="1" applyBorder="1" applyAlignment="1" applyProtection="1">
      <alignment horizontal="center" vertical="center"/>
      <protection locked="0"/>
    </xf>
    <xf numFmtId="3" fontId="59" fillId="11" borderId="18" xfId="0" applyNumberFormat="1" applyFont="1" applyFill="1" applyBorder="1" applyAlignment="1" applyProtection="1">
      <alignment horizontal="center" vertical="center"/>
      <protection locked="0"/>
    </xf>
    <xf numFmtId="0" fontId="78" fillId="13" borderId="0" xfId="0" applyFont="1" applyFill="1" applyProtection="1"/>
    <xf numFmtId="0" fontId="62" fillId="13" borderId="0" xfId="0" applyFont="1" applyFill="1" applyBorder="1" applyAlignment="1" applyProtection="1">
      <alignment vertical="center"/>
    </xf>
    <xf numFmtId="0" fontId="56" fillId="13" borderId="0" xfId="0" applyFont="1" applyFill="1" applyBorder="1" applyAlignment="1" applyProtection="1">
      <alignment horizontal="center" vertical="center" wrapText="1"/>
    </xf>
    <xf numFmtId="0" fontId="56" fillId="13" borderId="0" xfId="0" applyFont="1" applyFill="1" applyBorder="1" applyAlignment="1" applyProtection="1">
      <alignment vertical="center" wrapText="1"/>
    </xf>
    <xf numFmtId="0" fontId="0" fillId="9" borderId="0" xfId="0" applyFont="1" applyFill="1" applyAlignment="1" applyProtection="1">
      <alignment vertical="top"/>
    </xf>
    <xf numFmtId="0" fontId="37" fillId="9" borderId="0" xfId="0" applyFont="1" applyFill="1" applyAlignment="1" applyProtection="1">
      <alignment vertical="top"/>
    </xf>
    <xf numFmtId="0" fontId="57" fillId="9" borderId="0" xfId="0" applyFont="1" applyFill="1" applyAlignment="1" applyProtection="1">
      <alignment horizontal="left" vertical="top"/>
    </xf>
    <xf numFmtId="0" fontId="58" fillId="9" borderId="0" xfId="0" applyFont="1" applyFill="1" applyBorder="1" applyAlignment="1" applyProtection="1">
      <alignment vertical="top"/>
    </xf>
    <xf numFmtId="0" fontId="37" fillId="9" borderId="0" xfId="0" applyFont="1" applyFill="1" applyAlignment="1" applyProtection="1">
      <alignment horizontal="center" vertical="top"/>
    </xf>
    <xf numFmtId="0" fontId="35" fillId="22" borderId="32" xfId="0" applyFont="1" applyFill="1" applyBorder="1" applyAlignment="1" applyProtection="1">
      <alignment vertical="top"/>
    </xf>
    <xf numFmtId="0" fontId="70" fillId="22" borderId="33" xfId="0" applyFont="1" applyFill="1" applyBorder="1" applyAlignment="1" applyProtection="1">
      <alignment horizontal="left" vertical="center"/>
    </xf>
    <xf numFmtId="0" fontId="71" fillId="22" borderId="33" xfId="0" applyFont="1" applyFill="1" applyBorder="1" applyAlignment="1" applyProtection="1">
      <alignment horizontal="left" vertical="center"/>
    </xf>
    <xf numFmtId="0" fontId="87" fillId="22" borderId="17" xfId="0" applyFont="1" applyFill="1" applyBorder="1" applyAlignment="1" applyProtection="1"/>
    <xf numFmtId="0" fontId="37" fillId="22" borderId="33" xfId="0" applyFont="1" applyFill="1" applyBorder="1" applyAlignment="1" applyProtection="1">
      <alignment horizontal="center" vertical="top"/>
    </xf>
    <xf numFmtId="0" fontId="75" fillId="22" borderId="17" xfId="0" applyFont="1" applyFill="1" applyBorder="1" applyAlignment="1" applyProtection="1"/>
    <xf numFmtId="0" fontId="37" fillId="22" borderId="33" xfId="0" applyFont="1" applyFill="1" applyBorder="1" applyAlignment="1" applyProtection="1">
      <alignment vertical="top"/>
    </xf>
    <xf numFmtId="0" fontId="37" fillId="22" borderId="17" xfId="0" applyFont="1" applyFill="1" applyBorder="1" applyAlignment="1" applyProtection="1">
      <alignment vertical="top"/>
    </xf>
    <xf numFmtId="0" fontId="57" fillId="22" borderId="17" xfId="0" applyFont="1" applyFill="1" applyBorder="1" applyAlignment="1" applyProtection="1">
      <alignment horizontal="left" vertical="top"/>
    </xf>
    <xf numFmtId="0" fontId="37" fillId="22" borderId="16" xfId="0" applyFont="1" applyFill="1" applyBorder="1" applyAlignment="1" applyProtection="1">
      <alignment vertical="top"/>
    </xf>
    <xf numFmtId="0" fontId="37" fillId="22" borderId="34" xfId="0" applyFont="1" applyFill="1" applyBorder="1" applyProtection="1"/>
    <xf numFmtId="0" fontId="37" fillId="22" borderId="0" xfId="0" applyFont="1" applyFill="1" applyBorder="1" applyProtection="1"/>
    <xf numFmtId="0" fontId="57" fillId="22" borderId="0" xfId="0" applyFont="1" applyFill="1" applyBorder="1" applyProtection="1"/>
    <xf numFmtId="0" fontId="20" fillId="19" borderId="1" xfId="0" applyFont="1" applyFill="1" applyBorder="1" applyAlignment="1" applyProtection="1">
      <alignment horizontal="center" vertical="center"/>
    </xf>
    <xf numFmtId="0" fontId="20" fillId="22" borderId="0" xfId="0" applyFont="1" applyFill="1" applyBorder="1" applyProtection="1"/>
    <xf numFmtId="0" fontId="37" fillId="0" borderId="1" xfId="0" applyFont="1" applyFill="1" applyBorder="1" applyProtection="1"/>
    <xf numFmtId="0" fontId="15" fillId="22" borderId="0" xfId="0" applyFont="1" applyFill="1" applyBorder="1" applyProtection="1"/>
    <xf numFmtId="0" fontId="37" fillId="22" borderId="18" xfId="0" applyFont="1" applyFill="1" applyBorder="1" applyProtection="1"/>
    <xf numFmtId="0" fontId="37" fillId="22" borderId="34" xfId="0" applyFont="1" applyFill="1" applyBorder="1" applyAlignment="1" applyProtection="1">
      <alignment vertical="center"/>
    </xf>
    <xf numFmtId="0" fontId="92" fillId="20" borderId="1" xfId="0" applyFont="1" applyFill="1" applyBorder="1" applyAlignment="1" applyProtection="1">
      <alignment horizontal="center" vertical="center"/>
    </xf>
    <xf numFmtId="0" fontId="20" fillId="22" borderId="0" xfId="0" applyFont="1" applyFill="1" applyBorder="1" applyAlignment="1" applyProtection="1">
      <alignment horizontal="right" vertical="center" indent="2"/>
    </xf>
    <xf numFmtId="0" fontId="7" fillId="22" borderId="0" xfId="0" applyFont="1" applyFill="1" applyBorder="1" applyAlignment="1" applyProtection="1">
      <alignment vertical="center"/>
    </xf>
    <xf numFmtId="0" fontId="57" fillId="30" borderId="1" xfId="0" applyFont="1" applyFill="1" applyBorder="1" applyAlignment="1" applyProtection="1">
      <alignment horizontal="center" vertical="center"/>
    </xf>
    <xf numFmtId="0" fontId="37" fillId="22" borderId="0" xfId="0" applyFont="1" applyFill="1" applyBorder="1" applyAlignment="1" applyProtection="1">
      <alignment vertical="center"/>
    </xf>
    <xf numFmtId="0" fontId="57" fillId="22" borderId="0" xfId="0" applyFont="1" applyFill="1" applyBorder="1" applyAlignment="1" applyProtection="1">
      <alignment horizontal="left" vertical="center"/>
    </xf>
    <xf numFmtId="0" fontId="37" fillId="22" borderId="18" xfId="0" applyFont="1" applyFill="1" applyBorder="1" applyAlignment="1" applyProtection="1">
      <alignment vertical="center"/>
    </xf>
    <xf numFmtId="0" fontId="57" fillId="22" borderId="34" xfId="0" applyFont="1" applyFill="1" applyBorder="1" applyAlignment="1" applyProtection="1">
      <alignment horizontal="left" vertical="center"/>
    </xf>
    <xf numFmtId="0" fontId="79" fillId="0" borderId="7" xfId="0" applyFont="1" applyFill="1" applyBorder="1" applyAlignment="1" applyProtection="1">
      <alignment horizontal="center" vertical="center"/>
    </xf>
    <xf numFmtId="0" fontId="33" fillId="22" borderId="0" xfId="0" applyFont="1" applyFill="1" applyBorder="1" applyAlignment="1" applyProtection="1">
      <alignment horizontal="right" vertical="center" indent="2"/>
    </xf>
    <xf numFmtId="0" fontId="18" fillId="22" borderId="0" xfId="0" applyFont="1" applyFill="1" applyBorder="1" applyAlignment="1" applyProtection="1">
      <alignment vertical="center"/>
    </xf>
    <xf numFmtId="0" fontId="57" fillId="31" borderId="1" xfId="0" applyFont="1" applyFill="1" applyBorder="1" applyAlignment="1" applyProtection="1">
      <alignment horizontal="center" vertical="center"/>
    </xf>
    <xf numFmtId="0" fontId="15" fillId="22" borderId="0" xfId="0" applyFont="1" applyFill="1" applyAlignment="1" applyProtection="1">
      <alignment vertical="center"/>
    </xf>
    <xf numFmtId="0" fontId="37" fillId="11" borderId="1" xfId="0" applyFont="1" applyFill="1" applyBorder="1" applyAlignment="1" applyProtection="1">
      <alignment vertical="center"/>
    </xf>
    <xf numFmtId="0" fontId="15" fillId="22" borderId="0" xfId="0" applyFont="1" applyFill="1" applyBorder="1" applyAlignment="1" applyProtection="1">
      <alignment vertical="center"/>
    </xf>
    <xf numFmtId="0" fontId="77" fillId="9" borderId="0" xfId="0" applyFont="1" applyFill="1" applyAlignment="1" applyProtection="1">
      <alignment horizontal="left" vertical="center"/>
    </xf>
    <xf numFmtId="0" fontId="37" fillId="22" borderId="37" xfId="0" applyFont="1" applyFill="1" applyBorder="1" applyAlignment="1" applyProtection="1">
      <alignment vertical="center"/>
    </xf>
    <xf numFmtId="0" fontId="91" fillId="0" borderId="36" xfId="0" applyFont="1" applyFill="1" applyBorder="1" applyAlignment="1" applyProtection="1">
      <alignment vertical="center"/>
    </xf>
    <xf numFmtId="0" fontId="37" fillId="22" borderId="38" xfId="0" applyFont="1" applyFill="1" applyBorder="1" applyAlignment="1" applyProtection="1">
      <alignment horizontal="right" vertical="center" indent="2"/>
    </xf>
    <xf numFmtId="0" fontId="7" fillId="22" borderId="39" xfId="0" applyFont="1" applyFill="1" applyBorder="1" applyAlignment="1" applyProtection="1">
      <alignment vertical="center"/>
    </xf>
    <xf numFmtId="0" fontId="22" fillId="22" borderId="40" xfId="0" applyFont="1" applyFill="1" applyBorder="1" applyAlignment="1" applyProtection="1">
      <alignment vertical="center"/>
    </xf>
    <xf numFmtId="0" fontId="59" fillId="32" borderId="1" xfId="0" applyFont="1" applyFill="1" applyBorder="1" applyAlignment="1" applyProtection="1">
      <alignment horizontal="center" vertical="center"/>
    </xf>
    <xf numFmtId="0" fontId="20" fillId="22" borderId="4" xfId="0" applyFont="1" applyFill="1" applyBorder="1" applyProtection="1"/>
    <xf numFmtId="0" fontId="37" fillId="22" borderId="4" xfId="0" applyFont="1" applyFill="1" applyBorder="1" applyAlignment="1" applyProtection="1">
      <alignment vertical="center"/>
    </xf>
    <xf numFmtId="0" fontId="37" fillId="22" borderId="41" xfId="0" applyFont="1" applyFill="1" applyBorder="1" applyAlignment="1" applyProtection="1">
      <alignment vertical="center"/>
    </xf>
    <xf numFmtId="0" fontId="37" fillId="22" borderId="42" xfId="0" applyFont="1" applyFill="1" applyBorder="1" applyAlignment="1" applyProtection="1">
      <alignment vertical="center"/>
    </xf>
    <xf numFmtId="3" fontId="81" fillId="9" borderId="0" xfId="0" applyNumberFormat="1" applyFont="1" applyFill="1" applyBorder="1" applyAlignment="1" applyProtection="1">
      <alignment horizontal="right"/>
    </xf>
    <xf numFmtId="0" fontId="22" fillId="12" borderId="0" xfId="0" applyFont="1" applyFill="1" applyBorder="1" applyAlignment="1" applyProtection="1">
      <alignment vertical="center"/>
    </xf>
    <xf numFmtId="0" fontId="59" fillId="9" borderId="0" xfId="0" applyFont="1" applyFill="1" applyAlignment="1" applyProtection="1">
      <alignment vertical="center"/>
    </xf>
    <xf numFmtId="0" fontId="37" fillId="9" borderId="4" xfId="0" applyFont="1" applyFill="1" applyBorder="1" applyProtection="1"/>
    <xf numFmtId="0" fontId="37" fillId="9" borderId="19" xfId="0" applyFont="1" applyFill="1" applyBorder="1" applyProtection="1"/>
    <xf numFmtId="0" fontId="37" fillId="9" borderId="18" xfId="0" applyFont="1" applyFill="1" applyBorder="1" applyProtection="1"/>
    <xf numFmtId="0" fontId="37" fillId="9" borderId="61" xfId="0" applyFont="1" applyFill="1" applyBorder="1" applyProtection="1"/>
    <xf numFmtId="0" fontId="37" fillId="9" borderId="41" xfId="0" applyFont="1" applyFill="1" applyBorder="1" applyProtection="1"/>
    <xf numFmtId="0" fontId="56" fillId="13" borderId="10" xfId="0" applyFont="1" applyFill="1" applyBorder="1" applyAlignment="1" applyProtection="1">
      <alignment vertical="center" wrapText="1"/>
    </xf>
    <xf numFmtId="0" fontId="56" fillId="9" borderId="0" xfId="0" applyFont="1" applyFill="1" applyBorder="1" applyAlignment="1" applyProtection="1">
      <alignment vertical="center" wrapText="1"/>
    </xf>
    <xf numFmtId="0" fontId="56" fillId="13" borderId="19" xfId="0" applyFont="1" applyFill="1" applyBorder="1" applyAlignment="1" applyProtection="1">
      <alignment vertical="center" wrapText="1"/>
    </xf>
    <xf numFmtId="0" fontId="56" fillId="13" borderId="18" xfId="0" applyFont="1" applyFill="1" applyBorder="1" applyAlignment="1" applyProtection="1">
      <alignment vertical="center" wrapText="1"/>
    </xf>
    <xf numFmtId="0" fontId="56" fillId="13" borderId="61" xfId="0" applyFont="1" applyFill="1" applyBorder="1" applyAlignment="1" applyProtection="1">
      <alignment vertical="center" wrapText="1"/>
    </xf>
    <xf numFmtId="0" fontId="87" fillId="29" borderId="15" xfId="0" applyFont="1" applyFill="1" applyBorder="1" applyAlignment="1" applyProtection="1">
      <alignment horizontal="center" vertical="center"/>
    </xf>
    <xf numFmtId="0" fontId="80" fillId="28" borderId="15" xfId="0" applyFont="1" applyFill="1" applyBorder="1" applyAlignment="1" applyProtection="1">
      <alignment horizontal="center" vertical="center"/>
    </xf>
    <xf numFmtId="0" fontId="87" fillId="27" borderId="15" xfId="0" applyFont="1" applyFill="1" applyBorder="1" applyAlignment="1" applyProtection="1">
      <alignment horizontal="center" vertical="center"/>
    </xf>
    <xf numFmtId="0" fontId="80" fillId="24" borderId="15" xfId="0" applyFont="1" applyFill="1" applyBorder="1" applyAlignment="1" applyProtection="1">
      <alignment horizontal="center" vertical="center"/>
    </xf>
    <xf numFmtId="0" fontId="80" fillId="18" borderId="15" xfId="0" applyFont="1" applyFill="1" applyBorder="1" applyAlignment="1" applyProtection="1">
      <alignment horizontal="center" vertical="center"/>
    </xf>
    <xf numFmtId="0" fontId="80" fillId="26" borderId="15" xfId="0" applyFont="1" applyFill="1" applyBorder="1" applyAlignment="1" applyProtection="1">
      <alignment horizontal="center" vertical="center"/>
    </xf>
    <xf numFmtId="0" fontId="80" fillId="23" borderId="15" xfId="0" applyFont="1" applyFill="1" applyBorder="1" applyAlignment="1" applyProtection="1">
      <alignment horizontal="center" vertical="center"/>
    </xf>
    <xf numFmtId="0" fontId="87" fillId="15" borderId="7" xfId="0" applyFont="1" applyFill="1" applyBorder="1" applyAlignment="1" applyProtection="1">
      <alignment horizontal="center" vertical="center"/>
    </xf>
    <xf numFmtId="0" fontId="80" fillId="9" borderId="0" xfId="0" applyFont="1" applyFill="1" applyProtection="1"/>
    <xf numFmtId="0" fontId="67" fillId="21" borderId="0" xfId="0" applyFont="1" applyFill="1" applyProtection="1"/>
    <xf numFmtId="0" fontId="80" fillId="21" borderId="0" xfId="0" applyFont="1" applyFill="1" applyProtection="1"/>
    <xf numFmtId="0" fontId="80" fillId="21" borderId="19" xfId="0" applyFont="1" applyFill="1" applyBorder="1" applyProtection="1"/>
    <xf numFmtId="0" fontId="80" fillId="21" borderId="0" xfId="0" applyFont="1" applyFill="1" applyBorder="1" applyProtection="1"/>
    <xf numFmtId="0" fontId="80" fillId="21" borderId="18" xfId="0" applyFont="1" applyFill="1" applyBorder="1" applyProtection="1"/>
    <xf numFmtId="0" fontId="56" fillId="21" borderId="19" xfId="0" applyFont="1" applyFill="1" applyBorder="1" applyProtection="1"/>
    <xf numFmtId="0" fontId="56" fillId="21" borderId="18" xfId="0" applyFont="1" applyFill="1" applyBorder="1" applyAlignment="1" applyProtection="1">
      <alignment horizontal="center" vertical="center"/>
    </xf>
    <xf numFmtId="0" fontId="56" fillId="21" borderId="0" xfId="0" applyFont="1" applyFill="1" applyBorder="1" applyProtection="1"/>
    <xf numFmtId="0" fontId="56" fillId="21" borderId="18" xfId="0" applyFont="1" applyFill="1" applyBorder="1" applyProtection="1"/>
    <xf numFmtId="0" fontId="56" fillId="21" borderId="61" xfId="0" applyFont="1" applyFill="1" applyBorder="1" applyProtection="1"/>
    <xf numFmtId="0" fontId="56" fillId="9" borderId="0" xfId="0" applyFont="1" applyFill="1" applyProtection="1"/>
    <xf numFmtId="0" fontId="23" fillId="9" borderId="0" xfId="0" applyFont="1" applyFill="1" applyProtection="1"/>
    <xf numFmtId="0" fontId="37" fillId="9" borderId="43" xfId="0" applyFont="1" applyFill="1" applyBorder="1" applyProtection="1"/>
    <xf numFmtId="0" fontId="37" fillId="9" borderId="42" xfId="0" applyFont="1" applyFill="1" applyBorder="1" applyProtection="1"/>
    <xf numFmtId="0" fontId="37" fillId="9" borderId="69" xfId="0" applyFont="1" applyFill="1" applyBorder="1" applyProtection="1"/>
    <xf numFmtId="0" fontId="37" fillId="9" borderId="15" xfId="0" applyFont="1" applyFill="1" applyBorder="1" applyAlignment="1" applyProtection="1">
      <alignment horizontal="center" vertical="center"/>
    </xf>
    <xf numFmtId="0" fontId="37" fillId="9" borderId="16" xfId="0" applyFont="1" applyFill="1" applyBorder="1" applyAlignment="1" applyProtection="1">
      <alignment horizontal="left" vertical="top"/>
    </xf>
    <xf numFmtId="3" fontId="37" fillId="0" borderId="15" xfId="0" applyNumberFormat="1" applyFont="1" applyFill="1" applyBorder="1" applyAlignment="1" applyProtection="1">
      <alignment horizontal="right" vertical="center"/>
    </xf>
    <xf numFmtId="3" fontId="37" fillId="0" borderId="17" xfId="0" applyNumberFormat="1" applyFont="1" applyFill="1" applyBorder="1" applyAlignment="1" applyProtection="1">
      <alignment horizontal="right" vertical="center"/>
    </xf>
    <xf numFmtId="0" fontId="37" fillId="9" borderId="17" xfId="0" applyFont="1" applyFill="1" applyBorder="1" applyAlignment="1" applyProtection="1">
      <alignment horizontal="left" vertical="top"/>
    </xf>
    <xf numFmtId="3" fontId="37" fillId="9" borderId="15" xfId="0" applyNumberFormat="1" applyFont="1" applyFill="1" applyBorder="1" applyAlignment="1" applyProtection="1">
      <alignment horizontal="right" vertical="center"/>
    </xf>
    <xf numFmtId="3" fontId="37" fillId="9" borderId="16" xfId="0" applyNumberFormat="1" applyFont="1" applyFill="1" applyBorder="1" applyAlignment="1" applyProtection="1">
      <alignment horizontal="right" vertical="center"/>
    </xf>
    <xf numFmtId="3" fontId="37" fillId="9" borderId="17" xfId="0" applyNumberFormat="1" applyFont="1" applyFill="1" applyBorder="1" applyAlignment="1" applyProtection="1">
      <alignment horizontal="right" vertical="center"/>
    </xf>
    <xf numFmtId="3" fontId="37" fillId="9" borderId="19" xfId="0" applyNumberFormat="1" applyFont="1" applyFill="1" applyBorder="1" applyAlignment="1" applyProtection="1">
      <alignment horizontal="right" vertical="center"/>
    </xf>
    <xf numFmtId="0" fontId="37" fillId="9" borderId="19" xfId="0" applyFont="1" applyFill="1" applyBorder="1" applyAlignment="1" applyProtection="1">
      <alignment horizontal="center" vertical="center"/>
    </xf>
    <xf numFmtId="0" fontId="37" fillId="9" borderId="18" xfId="0" applyFont="1" applyFill="1" applyBorder="1" applyAlignment="1" applyProtection="1">
      <alignment horizontal="left" vertical="top"/>
    </xf>
    <xf numFmtId="3" fontId="37" fillId="0" borderId="19" xfId="0" applyNumberFormat="1" applyFont="1" applyFill="1" applyBorder="1" applyAlignment="1" applyProtection="1">
      <alignment horizontal="right" vertical="center"/>
    </xf>
    <xf numFmtId="3" fontId="37" fillId="0" borderId="0" xfId="0" applyNumberFormat="1" applyFont="1" applyFill="1" applyBorder="1" applyAlignment="1" applyProtection="1">
      <alignment horizontal="right" vertical="center"/>
    </xf>
    <xf numFmtId="0" fontId="37" fillId="9" borderId="0" xfId="0" applyFont="1" applyFill="1" applyBorder="1" applyAlignment="1" applyProtection="1">
      <alignment horizontal="left" vertical="top"/>
    </xf>
    <xf numFmtId="3" fontId="37" fillId="9" borderId="18" xfId="0" applyNumberFormat="1" applyFont="1" applyFill="1" applyBorder="1" applyAlignment="1" applyProtection="1">
      <alignment horizontal="right" vertical="center"/>
    </xf>
    <xf numFmtId="3" fontId="37" fillId="9" borderId="0" xfId="0" applyNumberFormat="1" applyFont="1" applyFill="1" applyBorder="1" applyAlignment="1" applyProtection="1">
      <alignment horizontal="right" vertical="center"/>
    </xf>
    <xf numFmtId="3" fontId="37" fillId="9" borderId="61" xfId="0" applyNumberFormat="1" applyFont="1" applyFill="1" applyBorder="1" applyAlignment="1" applyProtection="1">
      <alignment horizontal="right" vertical="center"/>
    </xf>
    <xf numFmtId="3" fontId="37" fillId="0" borderId="43" xfId="0" applyNumberFormat="1" applyFont="1" applyFill="1" applyBorder="1" applyAlignment="1" applyProtection="1">
      <alignment horizontal="right" vertical="center"/>
    </xf>
    <xf numFmtId="3" fontId="37" fillId="0" borderId="41" xfId="0" applyNumberFormat="1" applyFont="1" applyFill="1" applyBorder="1" applyAlignment="1" applyProtection="1">
      <alignment horizontal="right" vertical="center"/>
    </xf>
    <xf numFmtId="0" fontId="37" fillId="9" borderId="1" xfId="0" applyFont="1" applyFill="1" applyBorder="1" applyAlignment="1" applyProtection="1">
      <alignment horizontal="center" vertical="top"/>
    </xf>
    <xf numFmtId="0" fontId="37" fillId="9" borderId="1" xfId="0" applyFont="1" applyFill="1" applyBorder="1" applyAlignment="1" applyProtection="1">
      <alignment horizontal="left" vertical="top" wrapText="1"/>
    </xf>
    <xf numFmtId="0" fontId="37" fillId="9" borderId="3" xfId="0" applyFont="1" applyFill="1" applyBorder="1" applyAlignment="1" applyProtection="1">
      <alignment horizontal="center" vertical="center"/>
    </xf>
    <xf numFmtId="0" fontId="37" fillId="9" borderId="6" xfId="0" applyFont="1" applyFill="1" applyBorder="1" applyAlignment="1" applyProtection="1">
      <alignment horizontal="left" vertical="top"/>
    </xf>
    <xf numFmtId="3" fontId="37" fillId="0" borderId="3" xfId="0" applyNumberFormat="1" applyFont="1" applyFill="1" applyBorder="1" applyAlignment="1" applyProtection="1">
      <alignment horizontal="right" vertical="center"/>
    </xf>
    <xf numFmtId="3" fontId="37" fillId="9" borderId="3" xfId="0" applyNumberFormat="1" applyFont="1" applyFill="1" applyBorder="1" applyAlignment="1" applyProtection="1">
      <alignment horizontal="right" vertical="center"/>
    </xf>
    <xf numFmtId="3" fontId="37" fillId="9" borderId="6" xfId="0" applyNumberFormat="1" applyFont="1" applyFill="1" applyBorder="1" applyAlignment="1" applyProtection="1">
      <alignment horizontal="right" vertical="center"/>
    </xf>
    <xf numFmtId="3" fontId="37" fillId="9" borderId="5" xfId="0" applyNumberFormat="1" applyFont="1" applyFill="1" applyBorder="1" applyAlignment="1" applyProtection="1">
      <alignment horizontal="right" vertical="center"/>
    </xf>
    <xf numFmtId="0" fontId="37" fillId="9" borderId="2" xfId="0" applyFont="1" applyFill="1" applyBorder="1" applyAlignment="1" applyProtection="1">
      <alignment horizontal="left" vertical="top" wrapText="1"/>
    </xf>
    <xf numFmtId="0" fontId="37" fillId="9" borderId="10" xfId="0" applyFont="1" applyFill="1" applyBorder="1" applyAlignment="1" applyProtection="1">
      <alignment horizontal="center" vertical="center"/>
    </xf>
    <xf numFmtId="0" fontId="37" fillId="9" borderId="11" xfId="0" applyFont="1" applyFill="1" applyBorder="1" applyAlignment="1" applyProtection="1">
      <alignment horizontal="left" vertical="top"/>
    </xf>
    <xf numFmtId="3" fontId="37" fillId="9" borderId="43" xfId="0" applyNumberFormat="1" applyFont="1" applyFill="1" applyBorder="1" applyAlignment="1" applyProtection="1">
      <alignment horizontal="right" vertical="center"/>
    </xf>
    <xf numFmtId="3" fontId="37" fillId="9" borderId="42" xfId="0" applyNumberFormat="1" applyFont="1" applyFill="1" applyBorder="1" applyAlignment="1" applyProtection="1">
      <alignment horizontal="right" vertical="center"/>
    </xf>
    <xf numFmtId="3" fontId="37" fillId="9" borderId="41" xfId="0" applyNumberFormat="1" applyFont="1" applyFill="1" applyBorder="1" applyAlignment="1" applyProtection="1">
      <alignment horizontal="right" vertical="center"/>
    </xf>
    <xf numFmtId="3" fontId="37" fillId="9" borderId="69" xfId="0" applyNumberFormat="1" applyFont="1" applyFill="1" applyBorder="1" applyAlignment="1" applyProtection="1">
      <alignment horizontal="right" vertical="center"/>
    </xf>
    <xf numFmtId="0" fontId="37" fillId="9" borderId="17" xfId="0" applyFont="1" applyFill="1" applyBorder="1" applyProtection="1"/>
    <xf numFmtId="0" fontId="76" fillId="0" borderId="0" xfId="0" applyFont="1" applyFill="1" applyAlignment="1" applyProtection="1">
      <alignment vertical="center"/>
    </xf>
    <xf numFmtId="0" fontId="32" fillId="9" borderId="0" xfId="0" applyFont="1" applyFill="1" applyAlignment="1" applyProtection="1">
      <alignment horizontal="left" vertical="center"/>
    </xf>
    <xf numFmtId="0" fontId="32" fillId="9" borderId="0" xfId="0" applyFont="1" applyFill="1" applyAlignment="1" applyProtection="1">
      <alignment vertical="center"/>
    </xf>
    <xf numFmtId="0" fontId="32" fillId="9" borderId="0" xfId="0" applyFont="1" applyFill="1" applyAlignment="1" applyProtection="1">
      <alignment horizontal="center" vertical="center"/>
    </xf>
    <xf numFmtId="0" fontId="82" fillId="9" borderId="0" xfId="0" applyFont="1" applyFill="1" applyAlignment="1" applyProtection="1">
      <alignment vertical="center"/>
    </xf>
    <xf numFmtId="0" fontId="32" fillId="9" borderId="21" xfId="0" applyFont="1" applyFill="1" applyBorder="1" applyAlignment="1" applyProtection="1">
      <alignment horizontal="left" vertical="center"/>
    </xf>
    <xf numFmtId="0" fontId="8" fillId="9" borderId="0" xfId="0" applyFont="1" applyFill="1" applyAlignment="1" applyProtection="1">
      <alignment vertical="center"/>
    </xf>
    <xf numFmtId="0" fontId="75" fillId="33" borderId="0" xfId="0" applyFont="1" applyFill="1" applyAlignment="1" applyProtection="1">
      <alignment horizontal="right" vertical="center"/>
    </xf>
    <xf numFmtId="2" fontId="59" fillId="33" borderId="0" xfId="0" applyNumberFormat="1" applyFont="1" applyFill="1" applyBorder="1" applyAlignment="1" applyProtection="1">
      <alignment horizontal="right" vertical="center"/>
    </xf>
    <xf numFmtId="0" fontId="37" fillId="33" borderId="0" xfId="0" applyFont="1" applyFill="1" applyAlignment="1" applyProtection="1">
      <alignment vertical="center"/>
    </xf>
    <xf numFmtId="0" fontId="77" fillId="33" borderId="0" xfId="0" applyFont="1" applyFill="1" applyProtection="1"/>
    <xf numFmtId="17" fontId="35" fillId="33" borderId="0" xfId="0" applyNumberFormat="1" applyFont="1" applyFill="1" applyAlignment="1" applyProtection="1">
      <alignment vertical="center"/>
    </xf>
    <xf numFmtId="3" fontId="76" fillId="0" borderId="0" xfId="0" applyNumberFormat="1" applyFont="1" applyFill="1" applyBorder="1" applyAlignment="1" applyProtection="1">
      <alignment horizontal="right"/>
    </xf>
    <xf numFmtId="0" fontId="25" fillId="33" borderId="0" xfId="0" applyFont="1" applyFill="1" applyProtection="1"/>
    <xf numFmtId="0" fontId="59" fillId="33" borderId="0" xfId="0" applyFont="1" applyFill="1" applyAlignment="1" applyProtection="1">
      <alignment vertical="center"/>
    </xf>
    <xf numFmtId="0" fontId="37" fillId="33" borderId="0" xfId="0" applyFont="1" applyFill="1" applyProtection="1"/>
    <xf numFmtId="17" fontId="35" fillId="33" borderId="0" xfId="0" applyNumberFormat="1" applyFont="1" applyFill="1" applyBorder="1" applyAlignment="1" applyProtection="1">
      <alignment vertical="center"/>
    </xf>
    <xf numFmtId="0" fontId="75" fillId="9" borderId="0" xfId="0" applyFont="1" applyFill="1" applyAlignment="1" applyProtection="1">
      <alignment horizontal="right" vertical="center"/>
    </xf>
    <xf numFmtId="0" fontId="77" fillId="9" borderId="0" xfId="0" applyFont="1" applyFill="1" applyProtection="1"/>
    <xf numFmtId="2" fontId="59" fillId="9" borderId="0" xfId="0" applyNumberFormat="1" applyFont="1" applyFill="1" applyBorder="1" applyAlignment="1" applyProtection="1">
      <alignment horizontal="right" vertical="center"/>
    </xf>
    <xf numFmtId="165" fontId="76" fillId="0" borderId="0" xfId="0" applyNumberFormat="1" applyFont="1" applyFill="1" applyBorder="1" applyProtection="1"/>
    <xf numFmtId="0" fontId="29" fillId="9" borderId="0" xfId="0" applyFont="1" applyFill="1" applyBorder="1" applyProtection="1"/>
    <xf numFmtId="0" fontId="76" fillId="0" borderId="0" xfId="0" applyFont="1" applyFill="1" applyBorder="1" applyProtection="1"/>
    <xf numFmtId="0" fontId="36" fillId="9" borderId="0" xfId="0" applyFont="1" applyFill="1" applyBorder="1" applyProtection="1"/>
    <xf numFmtId="9" fontId="76" fillId="0" borderId="0" xfId="0" applyNumberFormat="1" applyFont="1" applyFill="1" applyBorder="1" applyProtection="1"/>
    <xf numFmtId="2" fontId="36" fillId="9" borderId="0" xfId="0" applyNumberFormat="1" applyFont="1" applyFill="1" applyBorder="1" applyProtection="1"/>
    <xf numFmtId="2" fontId="57" fillId="9" borderId="21" xfId="0" applyNumberFormat="1" applyFont="1" applyFill="1" applyBorder="1" applyProtection="1"/>
    <xf numFmtId="0" fontId="82" fillId="33" borderId="0" xfId="0" applyFont="1" applyFill="1" applyAlignment="1" applyProtection="1">
      <alignment horizontal="right"/>
    </xf>
    <xf numFmtId="0" fontId="82" fillId="33" borderId="0" xfId="0" applyFont="1" applyFill="1" applyProtection="1"/>
    <xf numFmtId="0" fontId="11" fillId="33" borderId="0" xfId="0" applyFont="1" applyFill="1" applyAlignment="1" applyProtection="1">
      <alignment horizontal="right"/>
    </xf>
    <xf numFmtId="3" fontId="76" fillId="0" borderId="0" xfId="0" applyNumberFormat="1" applyFont="1" applyFill="1" applyBorder="1" applyAlignment="1" applyProtection="1">
      <alignment horizontal="right" vertical="top"/>
    </xf>
    <xf numFmtId="0" fontId="11" fillId="33" borderId="0" xfId="0" applyFont="1" applyFill="1" applyProtection="1"/>
    <xf numFmtId="0" fontId="16" fillId="33" borderId="0" xfId="0" applyFont="1" applyFill="1" applyAlignment="1" applyProtection="1">
      <alignment horizontal="right"/>
    </xf>
    <xf numFmtId="3" fontId="25" fillId="33" borderId="0" xfId="0" applyNumberFormat="1" applyFont="1" applyFill="1" applyBorder="1" applyAlignment="1" applyProtection="1">
      <alignment horizontal="right"/>
    </xf>
    <xf numFmtId="3" fontId="57" fillId="33" borderId="28" xfId="0" applyNumberFormat="1" applyFont="1" applyFill="1" applyBorder="1" applyAlignment="1" applyProtection="1">
      <alignment horizontal="right"/>
    </xf>
    <xf numFmtId="3" fontId="57" fillId="33" borderId="31" xfId="0" applyNumberFormat="1" applyFont="1" applyFill="1" applyBorder="1" applyAlignment="1" applyProtection="1">
      <alignment horizontal="right"/>
    </xf>
    <xf numFmtId="3" fontId="57" fillId="33" borderId="29" xfId="0" applyNumberFormat="1" applyFont="1" applyFill="1" applyBorder="1" applyAlignment="1" applyProtection="1">
      <alignment horizontal="right"/>
    </xf>
    <xf numFmtId="0" fontId="82" fillId="9" borderId="0" xfId="0" applyFont="1" applyFill="1" applyAlignment="1" applyProtection="1">
      <alignment horizontal="right"/>
    </xf>
    <xf numFmtId="0" fontId="82" fillId="9" borderId="0" xfId="0" applyFont="1" applyFill="1" applyProtection="1"/>
    <xf numFmtId="0" fontId="12" fillId="9" borderId="0" xfId="0" applyFont="1" applyFill="1" applyAlignment="1" applyProtection="1">
      <alignment horizontal="right"/>
    </xf>
    <xf numFmtId="0" fontId="12" fillId="9" borderId="0" xfId="0" applyFont="1" applyFill="1" applyProtection="1"/>
    <xf numFmtId="3" fontId="57" fillId="9" borderId="28" xfId="0" applyNumberFormat="1" applyFont="1" applyFill="1" applyBorder="1" applyAlignment="1" applyProtection="1">
      <alignment horizontal="right"/>
    </xf>
    <xf numFmtId="3" fontId="57" fillId="9" borderId="31" xfId="0" applyNumberFormat="1" applyFont="1" applyFill="1" applyBorder="1" applyAlignment="1" applyProtection="1">
      <alignment horizontal="right"/>
    </xf>
    <xf numFmtId="3" fontId="57" fillId="9" borderId="29" xfId="0" applyNumberFormat="1" applyFont="1" applyFill="1" applyBorder="1" applyAlignment="1" applyProtection="1">
      <alignment horizontal="right"/>
    </xf>
    <xf numFmtId="0" fontId="26" fillId="33" borderId="0" xfId="0" applyFont="1" applyFill="1" applyProtection="1"/>
    <xf numFmtId="0" fontId="10" fillId="33" borderId="0" xfId="0" applyFont="1" applyFill="1" applyAlignment="1" applyProtection="1">
      <alignment horizontal="right"/>
    </xf>
    <xf numFmtId="0" fontId="10" fillId="33" borderId="0" xfId="0" applyFont="1" applyFill="1" applyProtection="1"/>
    <xf numFmtId="0" fontId="0" fillId="33" borderId="0" xfId="0" applyFill="1" applyProtection="1"/>
    <xf numFmtId="0" fontId="57" fillId="33" borderId="0" xfId="0" applyFont="1" applyFill="1" applyBorder="1" applyAlignment="1" applyProtection="1">
      <alignment horizontal="center"/>
    </xf>
    <xf numFmtId="9" fontId="57" fillId="33" borderId="0" xfId="16" applyFont="1" applyFill="1" applyBorder="1" applyAlignment="1" applyProtection="1">
      <alignment horizontal="center"/>
    </xf>
    <xf numFmtId="0" fontId="8" fillId="33" borderId="0" xfId="0" applyFont="1" applyFill="1" applyProtection="1"/>
    <xf numFmtId="0" fontId="37" fillId="33" borderId="0" xfId="0" applyFont="1" applyFill="1" applyBorder="1" applyAlignment="1" applyProtection="1">
      <alignment horizontal="center" vertical="center"/>
    </xf>
    <xf numFmtId="9" fontId="76" fillId="0" borderId="0" xfId="16" applyFont="1" applyFill="1" applyBorder="1" applyProtection="1"/>
    <xf numFmtId="9" fontId="76" fillId="0" borderId="0" xfId="16" applyFont="1" applyFill="1" applyProtection="1"/>
    <xf numFmtId="0" fontId="37" fillId="33" borderId="5" xfId="0" applyFont="1" applyFill="1" applyBorder="1" applyAlignment="1" applyProtection="1">
      <alignment horizontal="center" vertical="center"/>
    </xf>
    <xf numFmtId="9" fontId="76" fillId="0" borderId="5" xfId="16" applyFont="1" applyFill="1" applyBorder="1" applyProtection="1"/>
    <xf numFmtId="0" fontId="37" fillId="33" borderId="17" xfId="0" applyFont="1" applyFill="1" applyBorder="1" applyAlignment="1" applyProtection="1">
      <alignment horizontal="center" vertical="center"/>
    </xf>
    <xf numFmtId="0" fontId="37" fillId="33" borderId="41" xfId="0" applyFont="1" applyFill="1" applyBorder="1" applyAlignment="1" applyProtection="1">
      <alignment horizontal="center" vertical="center"/>
    </xf>
    <xf numFmtId="9" fontId="76" fillId="0" borderId="17" xfId="16" applyFont="1" applyFill="1" applyBorder="1" applyProtection="1"/>
    <xf numFmtId="9" fontId="76" fillId="0" borderId="41" xfId="16" applyFont="1" applyFill="1" applyBorder="1" applyProtection="1"/>
    <xf numFmtId="0" fontId="75" fillId="9" borderId="0" xfId="0" applyFont="1" applyFill="1" applyAlignment="1" applyProtection="1">
      <alignment horizontal="left" vertical="center"/>
    </xf>
    <xf numFmtId="0" fontId="57" fillId="9" borderId="0" xfId="0" applyFont="1" applyFill="1" applyBorder="1" applyAlignment="1" applyProtection="1">
      <alignment horizontal="center"/>
    </xf>
    <xf numFmtId="0" fontId="57" fillId="9" borderId="0" xfId="0" applyFont="1" applyFill="1" applyAlignment="1" applyProtection="1">
      <alignment horizontal="left" indent="2"/>
    </xf>
    <xf numFmtId="0" fontId="37" fillId="9" borderId="0" xfId="0" applyFont="1" applyFill="1" applyBorder="1" applyAlignment="1" applyProtection="1">
      <alignment horizontal="center" vertical="center"/>
    </xf>
    <xf numFmtId="3" fontId="21" fillId="9" borderId="0" xfId="0" applyNumberFormat="1" applyFont="1" applyFill="1" applyBorder="1" applyAlignment="1" applyProtection="1">
      <alignment horizontal="right" vertical="center"/>
    </xf>
    <xf numFmtId="0" fontId="37" fillId="9" borderId="5" xfId="0" applyFont="1" applyFill="1" applyBorder="1" applyAlignment="1" applyProtection="1">
      <alignment horizontal="center" vertical="center"/>
    </xf>
    <xf numFmtId="3" fontId="21" fillId="9" borderId="5" xfId="0" applyNumberFormat="1" applyFont="1" applyFill="1" applyBorder="1" applyAlignment="1" applyProtection="1">
      <alignment horizontal="right" vertical="center"/>
    </xf>
    <xf numFmtId="0" fontId="37" fillId="9" borderId="17" xfId="0" applyFont="1" applyFill="1" applyBorder="1" applyAlignment="1" applyProtection="1">
      <alignment horizontal="center" vertical="center"/>
    </xf>
    <xf numFmtId="3" fontId="21" fillId="9" borderId="17" xfId="0" applyNumberFormat="1" applyFont="1" applyFill="1" applyBorder="1" applyAlignment="1" applyProtection="1">
      <alignment horizontal="right" vertical="center"/>
    </xf>
    <xf numFmtId="0" fontId="37" fillId="9" borderId="41" xfId="0" applyFont="1" applyFill="1" applyBorder="1" applyAlignment="1" applyProtection="1">
      <alignment horizontal="center" vertical="center"/>
    </xf>
    <xf numFmtId="3" fontId="21" fillId="9" borderId="41" xfId="0" applyNumberFormat="1" applyFont="1" applyFill="1" applyBorder="1" applyAlignment="1" applyProtection="1">
      <alignment horizontal="right" vertical="center"/>
    </xf>
    <xf numFmtId="3" fontId="21" fillId="12" borderId="67" xfId="0" applyNumberFormat="1" applyFont="1" applyFill="1" applyBorder="1" applyAlignment="1" applyProtection="1">
      <alignment horizontal="right" vertical="center"/>
    </xf>
    <xf numFmtId="3" fontId="21" fillId="12" borderId="68" xfId="0" applyNumberFormat="1" applyFont="1" applyFill="1" applyBorder="1" applyAlignment="1" applyProtection="1">
      <alignment horizontal="right" vertical="center"/>
    </xf>
    <xf numFmtId="3" fontId="21" fillId="12" borderId="21" xfId="0" applyNumberFormat="1" applyFont="1" applyFill="1" applyBorder="1" applyAlignment="1" applyProtection="1">
      <alignment horizontal="right" vertical="center"/>
    </xf>
    <xf numFmtId="0" fontId="78" fillId="13" borderId="0" xfId="0" applyFont="1" applyFill="1" applyBorder="1" applyAlignment="1" applyProtection="1">
      <alignment vertical="center"/>
    </xf>
    <xf numFmtId="0" fontId="56" fillId="13" borderId="0" xfId="0" applyFont="1" applyFill="1" applyBorder="1" applyAlignment="1" applyProtection="1">
      <alignment horizontal="center" vertical="center"/>
    </xf>
    <xf numFmtId="0" fontId="56" fillId="13" borderId="0" xfId="0" applyFont="1" applyFill="1" applyBorder="1" applyAlignment="1" applyProtection="1">
      <alignment vertical="center"/>
    </xf>
    <xf numFmtId="0" fontId="78" fillId="13" borderId="0" xfId="4" applyFont="1" applyFill="1" applyBorder="1" applyAlignment="1" applyProtection="1">
      <alignment horizontal="center" vertical="center" wrapText="1"/>
    </xf>
    <xf numFmtId="0" fontId="34" fillId="9" borderId="0" xfId="0" applyFont="1" applyFill="1" applyAlignment="1" applyProtection="1">
      <alignment vertical="top"/>
    </xf>
    <xf numFmtId="0" fontId="57" fillId="9" borderId="0" xfId="0" applyFont="1" applyFill="1" applyAlignment="1" applyProtection="1">
      <alignment vertical="top"/>
    </xf>
    <xf numFmtId="0" fontId="38" fillId="16" borderId="1" xfId="0" applyFont="1" applyFill="1" applyBorder="1" applyAlignment="1" applyProtection="1">
      <alignment vertical="center"/>
    </xf>
    <xf numFmtId="0" fontId="56" fillId="13" borderId="2" xfId="0" applyFont="1" applyFill="1" applyBorder="1" applyAlignment="1" applyProtection="1">
      <alignment vertical="center"/>
    </xf>
    <xf numFmtId="0" fontId="68" fillId="4" borderId="2" xfId="4" applyFont="1" applyFill="1" applyBorder="1" applyAlignment="1" applyProtection="1">
      <alignment horizontal="left" vertical="center"/>
    </xf>
    <xf numFmtId="0" fontId="37" fillId="9" borderId="0" xfId="0" applyFont="1" applyFill="1" applyAlignment="1" applyProtection="1"/>
    <xf numFmtId="0" fontId="80" fillId="21" borderId="0" xfId="0" applyFont="1" applyFill="1" applyAlignment="1" applyProtection="1"/>
    <xf numFmtId="0" fontId="80" fillId="21" borderId="0" xfId="0" applyFont="1" applyFill="1" applyBorder="1" applyAlignment="1" applyProtection="1">
      <alignment horizontal="center" vertical="center"/>
    </xf>
    <xf numFmtId="0" fontId="56" fillId="21" borderId="0" xfId="0" applyFont="1" applyFill="1" applyAlignment="1" applyProtection="1">
      <alignment horizontal="center"/>
    </xf>
    <xf numFmtId="0" fontId="72" fillId="0" borderId="7" xfId="0" applyFont="1" applyFill="1" applyBorder="1" applyAlignment="1" applyProtection="1">
      <alignment vertical="top" wrapText="1"/>
    </xf>
    <xf numFmtId="0" fontId="37" fillId="11" borderId="1" xfId="0" applyFont="1" applyFill="1" applyBorder="1" applyAlignment="1" applyProtection="1">
      <alignment horizontal="right" vertical="center"/>
    </xf>
    <xf numFmtId="3" fontId="37" fillId="17" borderId="1" xfId="0" applyNumberFormat="1" applyFont="1" applyFill="1" applyBorder="1" applyAlignment="1" applyProtection="1">
      <alignment horizontal="right" vertical="center"/>
    </xf>
    <xf numFmtId="0" fontId="37" fillId="0" borderId="1" xfId="0" applyFont="1" applyFill="1" applyBorder="1" applyAlignment="1" applyProtection="1">
      <alignment horizontal="left" vertical="top" wrapText="1"/>
    </xf>
    <xf numFmtId="0" fontId="37" fillId="0" borderId="1" xfId="0" applyFont="1" applyFill="1" applyBorder="1" applyAlignment="1" applyProtection="1">
      <alignment horizontal="left"/>
    </xf>
    <xf numFmtId="0" fontId="37" fillId="9" borderId="0" xfId="0" applyFont="1" applyFill="1" applyBorder="1" applyAlignment="1" applyProtection="1">
      <alignment horizontal="center"/>
    </xf>
    <xf numFmtId="3" fontId="37" fillId="9" borderId="0" xfId="0" applyNumberFormat="1" applyFont="1" applyFill="1" applyProtection="1"/>
    <xf numFmtId="0" fontId="72" fillId="0" borderId="1" xfId="0" applyFont="1" applyFill="1" applyBorder="1" applyAlignment="1" applyProtection="1">
      <alignment horizontal="center" vertical="center"/>
    </xf>
    <xf numFmtId="0" fontId="72" fillId="0" borderId="1" xfId="0" applyFont="1" applyFill="1" applyBorder="1" applyAlignment="1" applyProtection="1"/>
    <xf numFmtId="0" fontId="68" fillId="5" borderId="3" xfId="4" applyFont="1" applyFill="1" applyBorder="1" applyAlignment="1" applyProtection="1">
      <alignment vertical="center" wrapText="1"/>
    </xf>
    <xf numFmtId="0" fontId="68" fillId="5" borderId="5" xfId="4" applyNumberFormat="1" applyFont="1" applyFill="1" applyBorder="1" applyAlignment="1" applyProtection="1">
      <alignment horizontal="center" vertical="center" wrapText="1"/>
    </xf>
    <xf numFmtId="0" fontId="68" fillId="5" borderId="6" xfId="4" applyNumberFormat="1" applyFont="1" applyFill="1" applyBorder="1" applyAlignment="1" applyProtection="1">
      <alignment horizontal="center" vertical="center" wrapText="1"/>
    </xf>
    <xf numFmtId="0" fontId="72" fillId="0" borderId="1" xfId="0" applyFont="1" applyFill="1" applyBorder="1" applyAlignment="1" applyProtection="1">
      <alignment horizontal="left"/>
    </xf>
    <xf numFmtId="0" fontId="68" fillId="5" borderId="4" xfId="4" applyFont="1" applyFill="1" applyBorder="1" applyAlignment="1" applyProtection="1">
      <alignment horizontal="left" vertical="center"/>
    </xf>
    <xf numFmtId="0" fontId="68" fillId="5" borderId="5" xfId="0" applyFont="1" applyFill="1" applyBorder="1" applyAlignment="1" applyProtection="1">
      <alignment horizontal="center" vertical="center" wrapText="1"/>
    </xf>
    <xf numFmtId="0" fontId="68" fillId="5" borderId="6" xfId="0" applyFont="1" applyFill="1" applyBorder="1" applyAlignment="1" applyProtection="1">
      <alignment horizontal="center" vertical="center" wrapText="1"/>
    </xf>
    <xf numFmtId="0" fontId="72" fillId="0" borderId="1" xfId="0" applyFont="1" applyFill="1" applyBorder="1" applyAlignment="1" applyProtection="1">
      <alignment horizontal="center" vertical="top"/>
    </xf>
    <xf numFmtId="0" fontId="72" fillId="9" borderId="0" xfId="0" applyFont="1" applyFill="1" applyProtection="1"/>
    <xf numFmtId="0" fontId="72" fillId="9" borderId="0" xfId="0" applyFont="1" applyFill="1" applyAlignment="1" applyProtection="1"/>
    <xf numFmtId="0" fontId="17" fillId="9" borderId="8" xfId="0" applyFont="1" applyFill="1" applyBorder="1" applyAlignment="1" applyProtection="1">
      <alignment horizontal="center" vertical="center"/>
    </xf>
    <xf numFmtId="0" fontId="17" fillId="9" borderId="0" xfId="0" applyFont="1" applyFill="1" applyProtection="1"/>
    <xf numFmtId="0" fontId="17" fillId="9" borderId="0" xfId="0" applyFont="1" applyFill="1" applyAlignment="1" applyProtection="1">
      <alignment horizontal="center"/>
    </xf>
    <xf numFmtId="0" fontId="35" fillId="9" borderId="0" xfId="0" applyFont="1" applyFill="1" applyAlignment="1" applyProtection="1">
      <alignment vertical="top"/>
    </xf>
    <xf numFmtId="0" fontId="75" fillId="9" borderId="0" xfId="0" applyFont="1" applyFill="1" applyAlignment="1" applyProtection="1">
      <alignment horizontal="right"/>
    </xf>
    <xf numFmtId="3" fontId="71" fillId="0" borderId="0" xfId="0" applyNumberFormat="1" applyFont="1" applyFill="1" applyAlignment="1" applyProtection="1">
      <alignment vertical="top"/>
    </xf>
    <xf numFmtId="0" fontId="0" fillId="9" borderId="0" xfId="0" applyFont="1" applyFill="1" applyAlignment="1" applyProtection="1">
      <alignment horizontal="left" vertical="center"/>
    </xf>
    <xf numFmtId="0" fontId="64" fillId="14" borderId="16" xfId="4" applyFont="1" applyFill="1" applyBorder="1" applyAlignment="1" applyProtection="1">
      <alignment vertical="center" wrapText="1"/>
    </xf>
    <xf numFmtId="0" fontId="87" fillId="14" borderId="2" xfId="0" applyFont="1" applyFill="1" applyBorder="1" applyAlignment="1" applyProtection="1">
      <alignment horizontal="right" vertical="center" wrapText="1"/>
    </xf>
    <xf numFmtId="0" fontId="37" fillId="0" borderId="17" xfId="0" applyFont="1" applyFill="1" applyBorder="1" applyAlignment="1" applyProtection="1">
      <alignment horizontal="center" vertical="top"/>
    </xf>
    <xf numFmtId="0" fontId="37" fillId="0" borderId="7" xfId="0" applyFont="1" applyFill="1" applyBorder="1" applyAlignment="1" applyProtection="1">
      <alignment horizontal="left" vertical="top" wrapText="1"/>
    </xf>
    <xf numFmtId="3" fontId="63" fillId="0" borderId="1" xfId="0" applyNumberFormat="1" applyFont="1" applyFill="1" applyBorder="1" applyAlignment="1" applyProtection="1">
      <alignment horizontal="right" vertical="center"/>
    </xf>
    <xf numFmtId="0" fontId="37" fillId="0" borderId="0" xfId="0" applyFont="1" applyFill="1" applyBorder="1" applyAlignment="1" applyProtection="1">
      <alignment horizontal="center" vertical="top"/>
    </xf>
    <xf numFmtId="0" fontId="37" fillId="0" borderId="8" xfId="0" applyFont="1" applyFill="1" applyBorder="1" applyAlignment="1" applyProtection="1">
      <alignment horizontal="left" vertical="top" wrapText="1"/>
    </xf>
    <xf numFmtId="0" fontId="27" fillId="9" borderId="0" xfId="0" applyFont="1" applyFill="1" applyProtection="1"/>
    <xf numFmtId="0" fontId="37" fillId="0" borderId="4" xfId="0" applyFont="1" applyFill="1" applyBorder="1" applyAlignment="1" applyProtection="1">
      <alignment horizontal="center" vertical="top"/>
    </xf>
    <xf numFmtId="0" fontId="37" fillId="0" borderId="2" xfId="0" applyFont="1" applyFill="1" applyBorder="1" applyAlignment="1" applyProtection="1">
      <alignment horizontal="left" vertical="top" wrapText="1"/>
    </xf>
    <xf numFmtId="0" fontId="37" fillId="0" borderId="6" xfId="0" applyFont="1" applyFill="1" applyBorder="1" applyAlignment="1" applyProtection="1">
      <alignment horizontal="center" vertical="top"/>
    </xf>
    <xf numFmtId="0" fontId="37" fillId="0" borderId="16" xfId="0" applyFont="1" applyFill="1" applyBorder="1" applyAlignment="1" applyProtection="1">
      <alignment horizontal="center" vertical="top"/>
    </xf>
    <xf numFmtId="0" fontId="37" fillId="0" borderId="18" xfId="0" applyFont="1" applyFill="1" applyBorder="1" applyAlignment="1" applyProtection="1">
      <alignment horizontal="center" vertical="top"/>
    </xf>
    <xf numFmtId="0" fontId="37" fillId="0" borderId="11" xfId="0" applyFont="1" applyFill="1" applyBorder="1" applyAlignment="1" applyProtection="1">
      <alignment horizontal="center" vertical="top"/>
    </xf>
    <xf numFmtId="0" fontId="31" fillId="0" borderId="1" xfId="0" applyFont="1" applyFill="1" applyBorder="1" applyAlignment="1" applyProtection="1">
      <alignment horizontal="left" vertical="top" wrapText="1"/>
    </xf>
    <xf numFmtId="0" fontId="24" fillId="17" borderId="7" xfId="0" applyFont="1" applyFill="1" applyBorder="1" applyAlignment="1" applyProtection="1">
      <alignment horizontal="center" vertical="top"/>
    </xf>
    <xf numFmtId="3" fontId="38" fillId="34" borderId="1" xfId="0" applyNumberFormat="1" applyFont="1" applyFill="1" applyBorder="1" applyAlignment="1" applyProtection="1">
      <alignment horizontal="right" vertical="center"/>
      <protection locked="0"/>
    </xf>
    <xf numFmtId="0" fontId="38" fillId="0" borderId="8" xfId="0" applyFont="1" applyFill="1" applyBorder="1" applyAlignment="1" applyProtection="1">
      <alignment wrapText="1"/>
      <protection locked="0"/>
    </xf>
    <xf numFmtId="3" fontId="6" fillId="11" borderId="1" xfId="0" applyNumberFormat="1" applyFont="1" applyFill="1" applyBorder="1" applyAlignment="1" applyProtection="1">
      <alignment horizontal="right" vertical="center"/>
      <protection locked="0"/>
    </xf>
    <xf numFmtId="3" fontId="6" fillId="16" borderId="1" xfId="0" applyNumberFormat="1" applyFont="1" applyFill="1" applyBorder="1" applyAlignment="1" applyProtection="1">
      <alignment horizontal="right" vertical="center"/>
      <protection locked="0"/>
    </xf>
    <xf numFmtId="0" fontId="113" fillId="0" borderId="1" xfId="4" applyFont="1" applyFill="1" applyBorder="1" applyAlignment="1">
      <alignment horizontal="center" vertical="top"/>
    </xf>
    <xf numFmtId="3" fontId="113" fillId="0" borderId="1" xfId="4" applyNumberFormat="1" applyFont="1" applyFill="1" applyBorder="1" applyAlignment="1">
      <alignment horizontal="right" vertical="top"/>
    </xf>
    <xf numFmtId="0" fontId="111" fillId="4" borderId="1" xfId="0" applyFont="1" applyFill="1" applyBorder="1" applyAlignment="1">
      <alignment horizontal="left" vertical="center" wrapText="1"/>
    </xf>
    <xf numFmtId="0" fontId="56" fillId="13" borderId="0" xfId="0" applyFont="1" applyFill="1" applyBorder="1" applyAlignment="1">
      <alignment horizontal="left" vertical="center" wrapText="1"/>
    </xf>
    <xf numFmtId="0" fontId="37" fillId="9" borderId="0" xfId="0" applyFont="1" applyFill="1" applyAlignment="1">
      <alignment horizontal="left"/>
    </xf>
    <xf numFmtId="0" fontId="113" fillId="0" borderId="1" xfId="4" applyFont="1" applyFill="1" applyBorder="1" applyAlignment="1">
      <alignment horizontal="left" vertical="top"/>
    </xf>
    <xf numFmtId="0" fontId="80" fillId="21" borderId="0" xfId="0" applyFont="1" applyFill="1"/>
    <xf numFmtId="0" fontId="80" fillId="21" borderId="0" xfId="0" applyFont="1" applyFill="1" applyAlignment="1">
      <alignment horizontal="left"/>
    </xf>
    <xf numFmtId="0" fontId="5" fillId="9" borderId="0" xfId="0" applyFont="1" applyFill="1"/>
    <xf numFmtId="0" fontId="43" fillId="9" borderId="0" xfId="0" applyFont="1" applyFill="1"/>
    <xf numFmtId="167" fontId="43" fillId="9" borderId="0" xfId="0" applyNumberFormat="1" applyFont="1" applyFill="1"/>
    <xf numFmtId="0" fontId="43" fillId="9" borderId="0" xfId="0" applyFont="1" applyFill="1" applyAlignment="1">
      <alignment horizontal="left"/>
    </xf>
    <xf numFmtId="0" fontId="111" fillId="4" borderId="1" xfId="0" applyFont="1" applyFill="1" applyBorder="1" applyAlignment="1">
      <alignment horizontal="center" vertical="top" wrapText="1"/>
    </xf>
    <xf numFmtId="0" fontId="114" fillId="0" borderId="1" xfId="4" applyFont="1" applyFill="1" applyBorder="1" applyAlignment="1">
      <alignment horizontal="center" vertical="top"/>
    </xf>
    <xf numFmtId="0" fontId="114" fillId="0" borderId="1" xfId="4" applyFont="1" applyFill="1" applyBorder="1" applyAlignment="1">
      <alignment horizontal="left" vertical="top"/>
    </xf>
    <xf numFmtId="0" fontId="43" fillId="9" borderId="1" xfId="0" applyFont="1" applyFill="1" applyBorder="1" applyAlignment="1" applyProtection="1">
      <alignment horizontal="center" vertical="top"/>
      <protection locked="0"/>
    </xf>
    <xf numFmtId="0" fontId="43" fillId="0" borderId="1" xfId="0" applyFont="1" applyBorder="1" applyAlignment="1" applyProtection="1">
      <alignment horizontal="center" vertical="top"/>
      <protection locked="0"/>
    </xf>
    <xf numFmtId="0" fontId="113" fillId="0" borderId="1" xfId="4" applyFont="1" applyBorder="1" applyAlignment="1">
      <alignment horizontal="left" vertical="top"/>
    </xf>
    <xf numFmtId="0" fontId="113" fillId="0" borderId="1" xfId="4" applyFont="1" applyBorder="1" applyAlignment="1">
      <alignment horizontal="center" vertical="top"/>
    </xf>
    <xf numFmtId="0" fontId="113" fillId="0" borderId="1" xfId="4" applyFont="1" applyFill="1" applyBorder="1" applyAlignment="1">
      <alignment vertical="top"/>
    </xf>
    <xf numFmtId="0" fontId="43" fillId="0" borderId="1" xfId="0" applyFont="1" applyBorder="1" applyAlignment="1" applyProtection="1">
      <alignment horizontal="center" vertical="top" wrapText="1"/>
      <protection locked="0"/>
    </xf>
    <xf numFmtId="0" fontId="43" fillId="0" borderId="1" xfId="0" applyFont="1" applyBorder="1" applyAlignment="1">
      <alignment vertical="top" wrapText="1"/>
    </xf>
    <xf numFmtId="0" fontId="113" fillId="0" borderId="1" xfId="4" applyFont="1" applyFill="1" applyBorder="1" applyAlignment="1">
      <alignment horizontal="left" vertical="top" wrapText="1"/>
    </xf>
    <xf numFmtId="0" fontId="113" fillId="0" borderId="1" xfId="4" applyFont="1" applyBorder="1" applyAlignment="1">
      <alignment horizontal="left" vertical="top" wrapText="1"/>
    </xf>
    <xf numFmtId="3" fontId="43" fillId="0" borderId="1" xfId="0" applyNumberFormat="1" applyFont="1" applyBorder="1" applyAlignment="1" applyProtection="1">
      <alignment horizontal="right" vertical="top"/>
      <protection locked="0"/>
    </xf>
    <xf numFmtId="0" fontId="43" fillId="0" borderId="1" xfId="0" applyFont="1" applyBorder="1" applyAlignment="1" applyProtection="1">
      <alignment horizontal="left" vertical="top" wrapText="1"/>
      <protection locked="0"/>
    </xf>
    <xf numFmtId="0" fontId="43" fillId="0" borderId="1" xfId="0" applyFont="1" applyBorder="1" applyAlignment="1" applyProtection="1">
      <alignment horizontal="left" vertical="top"/>
      <protection locked="0"/>
    </xf>
    <xf numFmtId="0" fontId="43" fillId="17" borderId="1" xfId="0" applyFont="1" applyFill="1" applyBorder="1" applyAlignment="1" applyProtection="1">
      <alignment horizontal="left" vertical="top"/>
      <protection locked="0"/>
    </xf>
    <xf numFmtId="0" fontId="111" fillId="4" borderId="1" xfId="0" quotePrefix="1" applyFont="1" applyFill="1" applyBorder="1" applyAlignment="1">
      <alignment horizontal="left" vertical="center" wrapText="1"/>
    </xf>
    <xf numFmtId="0" fontId="111" fillId="4" borderId="1" xfId="0" applyFont="1" applyFill="1" applyBorder="1" applyAlignment="1">
      <alignment horizontal="left" vertical="top" wrapText="1"/>
    </xf>
    <xf numFmtId="0" fontId="114" fillId="0" borderId="1" xfId="4" applyFont="1" applyFill="1" applyBorder="1" applyAlignment="1">
      <alignment horizontal="left" vertical="top" wrapText="1"/>
    </xf>
    <xf numFmtId="3" fontId="59" fillId="10" borderId="1" xfId="0" applyNumberFormat="1" applyFont="1" applyFill="1" applyBorder="1" applyAlignment="1" applyProtection="1">
      <alignment horizontal="right" vertical="center"/>
      <protection locked="0"/>
    </xf>
    <xf numFmtId="3" fontId="59" fillId="11" borderId="1" xfId="0" applyNumberFormat="1" applyFont="1" applyFill="1" applyBorder="1" applyAlignment="1" applyProtection="1">
      <alignment horizontal="right" vertical="center"/>
      <protection locked="0"/>
    </xf>
    <xf numFmtId="0" fontId="4" fillId="0" borderId="8" xfId="0" applyFont="1" applyFill="1" applyBorder="1" applyAlignment="1" applyProtection="1">
      <alignment wrapText="1"/>
      <protection locked="0"/>
    </xf>
    <xf numFmtId="3" fontId="3" fillId="9" borderId="1" xfId="0" applyNumberFormat="1" applyFont="1" applyFill="1" applyBorder="1" applyAlignment="1" applyProtection="1">
      <alignment horizontal="right" vertical="center"/>
      <protection locked="0"/>
    </xf>
    <xf numFmtId="0" fontId="0" fillId="0" borderId="8" xfId="0" applyFont="1" applyFill="1" applyBorder="1" applyAlignment="1" applyProtection="1">
      <alignment horizontal="left" wrapText="1"/>
      <protection locked="0"/>
    </xf>
    <xf numFmtId="3" fontId="59" fillId="10" borderId="1" xfId="0" applyNumberFormat="1" applyFont="1" applyFill="1" applyBorder="1" applyAlignment="1" applyProtection="1">
      <alignment horizontal="right" vertical="center"/>
    </xf>
    <xf numFmtId="0" fontId="2" fillId="0" borderId="8" xfId="0" applyFont="1" applyFill="1" applyBorder="1" applyAlignment="1" applyProtection="1">
      <alignment wrapText="1"/>
      <protection locked="0"/>
    </xf>
    <xf numFmtId="0" fontId="2" fillId="0" borderId="8" xfId="0" applyFont="1" applyFill="1" applyBorder="1" applyAlignment="1" applyProtection="1">
      <alignment horizontal="left" wrapText="1"/>
      <protection locked="0"/>
    </xf>
    <xf numFmtId="0" fontId="116" fillId="13" borderId="0" xfId="0" applyFont="1" applyFill="1" applyBorder="1" applyAlignment="1" applyProtection="1">
      <alignment vertical="center"/>
    </xf>
    <xf numFmtId="0" fontId="69" fillId="9" borderId="0" xfId="0" applyFont="1" applyFill="1" applyAlignment="1" applyProtection="1">
      <alignment horizontal="left" vertical="top"/>
    </xf>
    <xf numFmtId="0" fontId="0" fillId="9" borderId="0" xfId="0" applyFont="1" applyFill="1" applyProtection="1"/>
    <xf numFmtId="0" fontId="2" fillId="9" borderId="0" xfId="0" applyFont="1" applyFill="1" applyAlignment="1" applyProtection="1">
      <alignment horizontal="right"/>
    </xf>
    <xf numFmtId="0" fontId="2" fillId="9" borderId="0" xfId="0" applyFont="1" applyFill="1" applyAlignment="1" applyProtection="1">
      <alignment horizontal="right" vertical="top"/>
    </xf>
    <xf numFmtId="0" fontId="37" fillId="9" borderId="0" xfId="0" applyFont="1" applyFill="1" applyAlignment="1" applyProtection="1">
      <alignment horizontal="left"/>
    </xf>
    <xf numFmtId="0" fontId="2" fillId="9" borderId="0" xfId="0" applyFont="1" applyFill="1" applyAlignment="1" applyProtection="1">
      <alignment horizontal="left" vertical="top"/>
    </xf>
    <xf numFmtId="9" fontId="37" fillId="0" borderId="0" xfId="0" applyNumberFormat="1" applyFont="1" applyFill="1" applyAlignment="1" applyProtection="1">
      <alignment horizontal="center"/>
    </xf>
    <xf numFmtId="3" fontId="37" fillId="0" borderId="0" xfId="0" applyNumberFormat="1" applyFont="1" applyFill="1" applyAlignment="1" applyProtection="1">
      <alignment horizontal="center" vertical="top"/>
    </xf>
    <xf numFmtId="0" fontId="0" fillId="9" borderId="0" xfId="0" applyFont="1" applyFill="1" applyAlignment="1" applyProtection="1">
      <alignment horizontal="center" vertical="center"/>
    </xf>
    <xf numFmtId="0" fontId="116" fillId="13" borderId="0" xfId="0" applyFont="1" applyFill="1" applyBorder="1" applyAlignment="1" applyProtection="1">
      <alignment horizontal="center" vertical="center"/>
    </xf>
    <xf numFmtId="0" fontId="69" fillId="9" borderId="0" xfId="0" applyFont="1" applyFill="1" applyAlignment="1" applyProtection="1">
      <alignment horizontal="center" vertical="top"/>
    </xf>
    <xf numFmtId="0" fontId="0" fillId="9" borderId="0" xfId="0" applyFont="1" applyFill="1" applyAlignment="1" applyProtection="1">
      <alignment horizontal="center"/>
    </xf>
    <xf numFmtId="0" fontId="116" fillId="13" borderId="0" xfId="0" applyFont="1" applyFill="1" applyBorder="1" applyAlignment="1" applyProtection="1">
      <alignment horizontal="left" vertical="center"/>
    </xf>
    <xf numFmtId="0" fontId="0" fillId="9" borderId="0" xfId="0" applyFont="1" applyFill="1" applyAlignment="1" applyProtection="1">
      <alignment horizontal="left"/>
    </xf>
    <xf numFmtId="3" fontId="86" fillId="25" borderId="1" xfId="0" applyNumberFormat="1" applyFont="1" applyFill="1" applyBorder="1" applyAlignment="1" applyProtection="1">
      <alignment horizontal="right" vertical="center"/>
      <protection locked="0"/>
    </xf>
    <xf numFmtId="0" fontId="117" fillId="0" borderId="8" xfId="0" applyFont="1" applyFill="1" applyBorder="1" applyAlignment="1" applyProtection="1">
      <alignment horizontal="left" wrapText="1" indent="2"/>
      <protection locked="0"/>
    </xf>
    <xf numFmtId="0" fontId="103" fillId="0" borderId="8" xfId="0" applyFont="1" applyFill="1" applyBorder="1" applyAlignment="1" applyProtection="1">
      <alignment horizontal="right" wrapText="1" indent="24"/>
      <protection locked="0"/>
    </xf>
    <xf numFmtId="3" fontId="75" fillId="0" borderId="1" xfId="0" applyNumberFormat="1" applyFont="1" applyFill="1" applyBorder="1" applyAlignment="1" applyProtection="1">
      <alignment horizontal="right" vertical="center"/>
    </xf>
    <xf numFmtId="0" fontId="118" fillId="9" borderId="0" xfId="0" applyFont="1" applyFill="1" applyAlignment="1" applyProtection="1">
      <alignment vertical="center"/>
    </xf>
    <xf numFmtId="0" fontId="118" fillId="9" borderId="0" xfId="0" applyFont="1" applyFill="1" applyAlignment="1" applyProtection="1">
      <alignment horizontal="right" vertical="center"/>
    </xf>
    <xf numFmtId="3" fontId="118" fillId="9" borderId="0" xfId="0" applyNumberFormat="1" applyFont="1" applyFill="1" applyProtection="1"/>
    <xf numFmtId="9" fontId="118" fillId="9" borderId="0" xfId="16" applyFont="1" applyFill="1" applyProtection="1"/>
    <xf numFmtId="0" fontId="118" fillId="9" borderId="0" xfId="0" applyFont="1" applyFill="1" applyProtection="1"/>
    <xf numFmtId="0" fontId="59" fillId="0" borderId="8" xfId="0" applyFont="1" applyFill="1" applyBorder="1" applyAlignment="1" applyProtection="1">
      <alignment wrapText="1"/>
      <protection locked="0"/>
    </xf>
    <xf numFmtId="0" fontId="57" fillId="9" borderId="0" xfId="0" applyFont="1" applyFill="1" applyProtection="1"/>
    <xf numFmtId="0" fontId="24" fillId="0" borderId="7" xfId="0" applyFont="1" applyFill="1" applyBorder="1" applyAlignment="1" applyProtection="1">
      <alignment horizontal="center" vertical="top"/>
    </xf>
    <xf numFmtId="0" fontId="24" fillId="0" borderId="8" xfId="0" applyFont="1" applyFill="1" applyBorder="1" applyAlignment="1" applyProtection="1">
      <alignment horizontal="center" vertical="top"/>
    </xf>
    <xf numFmtId="0" fontId="24" fillId="0" borderId="35" xfId="0" applyFont="1" applyFill="1" applyBorder="1" applyAlignment="1" applyProtection="1">
      <alignment horizontal="center" vertical="top"/>
    </xf>
    <xf numFmtId="0" fontId="24" fillId="17" borderId="7" xfId="0" applyFont="1" applyFill="1" applyBorder="1" applyAlignment="1" applyProtection="1">
      <alignment horizontal="left" vertical="top" wrapText="1"/>
    </xf>
    <xf numFmtId="0" fontId="24" fillId="17" borderId="8" xfId="0" applyFont="1" applyFill="1" applyBorder="1" applyAlignment="1" applyProtection="1">
      <alignment horizontal="left" vertical="top" wrapText="1"/>
    </xf>
    <xf numFmtId="0" fontId="24" fillId="17" borderId="35" xfId="0" applyFont="1" applyFill="1" applyBorder="1" applyAlignment="1" applyProtection="1">
      <alignment horizontal="left" vertical="top" wrapText="1"/>
    </xf>
    <xf numFmtId="0" fontId="24" fillId="0" borderId="7" xfId="0" applyFont="1" applyFill="1" applyBorder="1" applyAlignment="1" applyProtection="1">
      <alignment horizontal="left" vertical="top" wrapText="1"/>
    </xf>
    <xf numFmtId="0" fontId="24" fillId="0" borderId="8" xfId="0" applyFont="1" applyFill="1" applyBorder="1" applyAlignment="1" applyProtection="1">
      <alignment horizontal="left" vertical="top" wrapText="1"/>
    </xf>
    <xf numFmtId="0" fontId="24" fillId="0" borderId="2" xfId="0" applyFont="1" applyFill="1" applyBorder="1" applyAlignment="1" applyProtection="1">
      <alignment horizontal="left" vertical="top" wrapText="1"/>
    </xf>
    <xf numFmtId="0" fontId="64" fillId="4" borderId="15" xfId="4" applyFont="1" applyFill="1" applyBorder="1" applyAlignment="1" applyProtection="1">
      <alignment horizontal="left" vertical="center" wrapText="1"/>
    </xf>
    <xf numFmtId="0" fontId="0" fillId="0" borderId="16" xfId="0" applyBorder="1" applyProtection="1"/>
    <xf numFmtId="0" fontId="64" fillId="4" borderId="15" xfId="4" applyFont="1" applyFill="1" applyBorder="1" applyAlignment="1" applyProtection="1">
      <alignment horizontal="center" vertical="center" wrapText="1"/>
    </xf>
    <xf numFmtId="0" fontId="64" fillId="4" borderId="16" xfId="4" applyFont="1" applyFill="1" applyBorder="1" applyAlignment="1" applyProtection="1">
      <alignment horizontal="center" vertical="center" wrapText="1"/>
    </xf>
    <xf numFmtId="0" fontId="66" fillId="8" borderId="17" xfId="0" applyFont="1" applyFill="1" applyBorder="1" applyProtection="1"/>
    <xf numFmtId="0" fontId="66" fillId="8" borderId="16" xfId="0" applyFont="1" applyFill="1" applyBorder="1" applyProtection="1"/>
    <xf numFmtId="0" fontId="67" fillId="13" borderId="15" xfId="0" applyFont="1" applyFill="1" applyBorder="1" applyAlignment="1" applyProtection="1">
      <alignment horizontal="left" vertical="center" wrapText="1"/>
    </xf>
    <xf numFmtId="0" fontId="0" fillId="0" borderId="17" xfId="0" applyBorder="1" applyProtection="1"/>
    <xf numFmtId="0" fontId="67" fillId="13" borderId="17" xfId="0" applyFont="1" applyFill="1" applyBorder="1" applyAlignment="1" applyProtection="1">
      <alignment horizontal="center" vertical="center" wrapText="1"/>
    </xf>
    <xf numFmtId="0" fontId="67" fillId="13" borderId="16" xfId="0" applyFont="1" applyFill="1" applyBorder="1" applyAlignment="1" applyProtection="1">
      <alignment horizontal="center" vertical="center" wrapText="1"/>
    </xf>
    <xf numFmtId="0" fontId="37" fillId="0" borderId="7" xfId="0" applyFont="1" applyFill="1" applyBorder="1" applyAlignment="1" applyProtection="1">
      <alignment horizontal="center" vertical="top"/>
    </xf>
    <xf numFmtId="0" fontId="37" fillId="0" borderId="8" xfId="0" applyFont="1" applyFill="1" applyBorder="1" applyAlignment="1" applyProtection="1">
      <alignment horizontal="center" vertical="top"/>
    </xf>
    <xf numFmtId="0" fontId="37" fillId="0" borderId="35" xfId="0" applyFont="1" applyFill="1" applyBorder="1" applyAlignment="1" applyProtection="1">
      <alignment horizontal="center" vertical="top"/>
    </xf>
    <xf numFmtId="0" fontId="37" fillId="0" borderId="2" xfId="0" applyFont="1" applyFill="1" applyBorder="1" applyAlignment="1" applyProtection="1">
      <alignment horizontal="center" vertical="top"/>
    </xf>
    <xf numFmtId="0" fontId="37" fillId="0" borderId="12" xfId="0" applyFont="1" applyFill="1" applyBorder="1" applyAlignment="1" applyProtection="1">
      <alignment horizontal="center" vertical="top"/>
    </xf>
    <xf numFmtId="0" fontId="37" fillId="0" borderId="9" xfId="0" applyFont="1" applyFill="1" applyBorder="1" applyAlignment="1" applyProtection="1">
      <alignment horizontal="center" vertical="top"/>
    </xf>
    <xf numFmtId="0" fontId="37" fillId="0" borderId="13" xfId="0" applyFont="1" applyFill="1" applyBorder="1" applyAlignment="1" applyProtection="1">
      <alignment horizontal="center" vertical="top"/>
    </xf>
    <xf numFmtId="0" fontId="37" fillId="0" borderId="14" xfId="0" applyFont="1" applyFill="1" applyBorder="1" applyAlignment="1" applyProtection="1">
      <alignment horizontal="center" vertical="top"/>
    </xf>
    <xf numFmtId="0" fontId="37" fillId="0" borderId="22" xfId="0" applyFont="1" applyFill="1" applyBorder="1" applyAlignment="1" applyProtection="1">
      <alignment horizontal="center" vertical="top"/>
    </xf>
    <xf numFmtId="0" fontId="9" fillId="0" borderId="7" xfId="0" applyFont="1" applyFill="1" applyBorder="1" applyAlignment="1" applyProtection="1">
      <alignment horizontal="center" vertical="top"/>
    </xf>
    <xf numFmtId="0" fontId="9" fillId="0" borderId="8" xfId="0" applyFont="1" applyFill="1" applyBorder="1" applyAlignment="1" applyProtection="1">
      <alignment horizontal="center" vertical="top"/>
    </xf>
    <xf numFmtId="0" fontId="9" fillId="0" borderId="35" xfId="0" applyFont="1" applyFill="1" applyBorder="1" applyAlignment="1" applyProtection="1">
      <alignment horizontal="center" vertical="top"/>
    </xf>
    <xf numFmtId="0" fontId="9" fillId="0" borderId="7" xfId="0" applyFont="1" applyFill="1" applyBorder="1" applyAlignment="1" applyProtection="1">
      <alignment horizontal="left" vertical="top" wrapText="1"/>
    </xf>
    <xf numFmtId="0" fontId="9" fillId="0" borderId="8" xfId="0" applyFont="1" applyFill="1" applyBorder="1" applyAlignment="1" applyProtection="1">
      <alignment horizontal="left" vertical="top" wrapText="1"/>
    </xf>
    <xf numFmtId="0" fontId="9" fillId="0" borderId="2" xfId="0" applyFont="1" applyFill="1" applyBorder="1" applyAlignment="1" applyProtection="1">
      <alignment horizontal="left" vertical="top" wrapText="1"/>
    </xf>
    <xf numFmtId="0" fontId="67" fillId="28" borderId="15" xfId="0" applyFont="1" applyFill="1" applyBorder="1" applyAlignment="1" applyProtection="1">
      <alignment horizontal="left" vertical="center"/>
    </xf>
    <xf numFmtId="0" fontId="0" fillId="28" borderId="17" xfId="0" applyFont="1" applyFill="1" applyBorder="1" applyProtection="1"/>
    <xf numFmtId="0" fontId="0" fillId="28" borderId="16" xfId="0" applyFont="1" applyFill="1" applyBorder="1" applyProtection="1"/>
    <xf numFmtId="0" fontId="0" fillId="28" borderId="15" xfId="0" applyFont="1" applyFill="1" applyBorder="1" applyProtection="1"/>
    <xf numFmtId="0" fontId="0" fillId="28" borderId="18" xfId="0" applyFont="1" applyFill="1" applyBorder="1" applyProtection="1"/>
    <xf numFmtId="0" fontId="67" fillId="13" borderId="19" xfId="0" applyFont="1" applyFill="1" applyBorder="1" applyAlignment="1" applyProtection="1">
      <alignment horizontal="left" vertical="center" wrapText="1"/>
    </xf>
    <xf numFmtId="0" fontId="0" fillId="0" borderId="0" xfId="0" applyFont="1" applyBorder="1" applyProtection="1"/>
    <xf numFmtId="0" fontId="0" fillId="0" borderId="18" xfId="0" applyFont="1" applyBorder="1" applyProtection="1"/>
    <xf numFmtId="0" fontId="0" fillId="0" borderId="16" xfId="0" applyFont="1" applyBorder="1" applyProtection="1"/>
    <xf numFmtId="0" fontId="9" fillId="17" borderId="7" xfId="0" applyFont="1" applyFill="1" applyBorder="1" applyAlignment="1" applyProtection="1">
      <alignment horizontal="left" vertical="top" wrapText="1"/>
    </xf>
    <xf numFmtId="0" fontId="9" fillId="17" borderId="8" xfId="0" applyFont="1" applyFill="1" applyBorder="1" applyAlignment="1" applyProtection="1">
      <alignment horizontal="left" vertical="top" wrapText="1"/>
    </xf>
    <xf numFmtId="0" fontId="9" fillId="17" borderId="35" xfId="0" applyFont="1" applyFill="1" applyBorder="1" applyAlignment="1" applyProtection="1">
      <alignment horizontal="left" vertical="top" wrapText="1"/>
    </xf>
    <xf numFmtId="0" fontId="9" fillId="0" borderId="2" xfId="0" applyFont="1" applyFill="1" applyBorder="1" applyAlignment="1" applyProtection="1">
      <alignment horizontal="center" vertical="top"/>
    </xf>
    <xf numFmtId="0" fontId="9" fillId="0" borderId="9" xfId="0" applyFont="1" applyFill="1" applyBorder="1" applyAlignment="1" applyProtection="1">
      <alignment horizontal="center" vertical="top"/>
    </xf>
    <xf numFmtId="0" fontId="9" fillId="0" borderId="13" xfId="0" applyFont="1" applyFill="1" applyBorder="1" applyAlignment="1" applyProtection="1">
      <alignment horizontal="center" vertical="top"/>
    </xf>
    <xf numFmtId="0" fontId="9" fillId="0" borderId="30" xfId="0" applyFont="1" applyFill="1" applyBorder="1" applyAlignment="1" applyProtection="1">
      <alignment horizontal="center" vertical="top"/>
    </xf>
    <xf numFmtId="0" fontId="9" fillId="0" borderId="12" xfId="0" applyFont="1" applyFill="1" applyBorder="1" applyAlignment="1" applyProtection="1">
      <alignment horizontal="center" vertical="top"/>
    </xf>
    <xf numFmtId="0" fontId="66" fillId="27" borderId="17" xfId="0" applyFont="1" applyFill="1" applyBorder="1" applyProtection="1"/>
    <xf numFmtId="0" fontId="66" fillId="27" borderId="16" xfId="0" applyFont="1" applyFill="1" applyBorder="1" applyProtection="1"/>
    <xf numFmtId="0" fontId="0" fillId="0" borderId="17" xfId="0" applyFont="1" applyBorder="1" applyProtection="1"/>
    <xf numFmtId="0" fontId="9" fillId="0" borderId="7"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9" fillId="0" borderId="22" xfId="0" applyFont="1" applyFill="1" applyBorder="1" applyAlignment="1" applyProtection="1">
      <alignment horizontal="center" vertical="center"/>
    </xf>
    <xf numFmtId="0" fontId="9" fillId="0" borderId="9" xfId="0" applyFont="1" applyFill="1" applyBorder="1" applyAlignment="1" applyProtection="1">
      <alignment horizontal="center" vertical="center"/>
    </xf>
    <xf numFmtId="0" fontId="9" fillId="0" borderId="13" xfId="0" applyFont="1" applyFill="1" applyBorder="1" applyAlignment="1" applyProtection="1">
      <alignment horizontal="center" vertical="center"/>
    </xf>
    <xf numFmtId="0" fontId="9" fillId="0" borderId="14" xfId="0" applyFont="1" applyFill="1" applyBorder="1" applyAlignment="1" applyProtection="1">
      <alignment horizontal="center" vertical="center"/>
    </xf>
    <xf numFmtId="0" fontId="0" fillId="0" borderId="8" xfId="0" applyFont="1" applyBorder="1" applyAlignment="1" applyProtection="1">
      <alignment horizontal="center" vertical="top"/>
    </xf>
    <xf numFmtId="0" fontId="0" fillId="0" borderId="2" xfId="0" applyFont="1" applyBorder="1" applyAlignment="1" applyProtection="1">
      <alignment horizontal="center" vertical="top"/>
    </xf>
    <xf numFmtId="0" fontId="9" fillId="0" borderId="12" xfId="0" applyFont="1" applyFill="1" applyBorder="1" applyAlignment="1" applyProtection="1">
      <alignment horizontal="center" vertical="center"/>
    </xf>
    <xf numFmtId="0" fontId="0" fillId="0" borderId="0" xfId="0" applyBorder="1" applyProtection="1"/>
    <xf numFmtId="0" fontId="0" fillId="0" borderId="18" xfId="0" applyBorder="1" applyProtection="1"/>
    <xf numFmtId="0" fontId="67" fillId="24" borderId="15" xfId="0" applyFont="1" applyFill="1" applyBorder="1" applyAlignment="1" applyProtection="1">
      <alignment horizontal="left" vertical="center"/>
    </xf>
    <xf numFmtId="0" fontId="67" fillId="24" borderId="17" xfId="0" applyFont="1" applyFill="1" applyBorder="1" applyAlignment="1" applyProtection="1">
      <alignment horizontal="left" vertical="center"/>
    </xf>
    <xf numFmtId="0" fontId="67" fillId="24" borderId="0" xfId="0" applyFont="1" applyFill="1" applyBorder="1" applyAlignment="1" applyProtection="1">
      <alignment horizontal="left" vertical="center"/>
    </xf>
    <xf numFmtId="0" fontId="67" fillId="24" borderId="18" xfId="0" applyFont="1" applyFill="1" applyBorder="1" applyAlignment="1" applyProtection="1">
      <alignment horizontal="left" vertical="center"/>
    </xf>
    <xf numFmtId="0" fontId="29" fillId="0" borderId="7" xfId="0" applyFont="1" applyFill="1" applyBorder="1" applyAlignment="1" applyProtection="1">
      <alignment horizontal="center" vertical="top"/>
    </xf>
    <xf numFmtId="0" fontId="29" fillId="0" borderId="8" xfId="0" applyFont="1" applyFill="1" applyBorder="1" applyAlignment="1" applyProtection="1">
      <alignment horizontal="center" vertical="top"/>
    </xf>
    <xf numFmtId="0" fontId="29" fillId="0" borderId="2" xfId="0" applyFont="1" applyFill="1" applyBorder="1" applyAlignment="1" applyProtection="1">
      <alignment horizontal="center" vertical="top"/>
    </xf>
    <xf numFmtId="0" fontId="29" fillId="0" borderId="35" xfId="0" applyFont="1" applyFill="1" applyBorder="1" applyAlignment="1" applyProtection="1">
      <alignment horizontal="center" vertical="top"/>
    </xf>
    <xf numFmtId="0" fontId="29" fillId="0" borderId="16" xfId="0" applyFont="1" applyFill="1" applyBorder="1" applyAlignment="1" applyProtection="1">
      <alignment horizontal="center" vertical="top"/>
    </xf>
    <xf numFmtId="0" fontId="29" fillId="0" borderId="18" xfId="0" applyFont="1" applyFill="1" applyBorder="1" applyAlignment="1" applyProtection="1">
      <alignment horizontal="center" vertical="top"/>
    </xf>
    <xf numFmtId="0" fontId="29" fillId="0" borderId="11" xfId="0" applyFont="1" applyFill="1" applyBorder="1" applyAlignment="1" applyProtection="1">
      <alignment horizontal="center" vertical="top"/>
    </xf>
    <xf numFmtId="0" fontId="29" fillId="0" borderId="12" xfId="0" applyFont="1" applyFill="1" applyBorder="1" applyAlignment="1" applyProtection="1">
      <alignment horizontal="center" vertical="top"/>
    </xf>
    <xf numFmtId="0" fontId="29" fillId="0" borderId="20" xfId="0" applyFont="1" applyFill="1" applyBorder="1" applyAlignment="1" applyProtection="1">
      <alignment horizontal="center" vertical="top"/>
    </xf>
    <xf numFmtId="0" fontId="103" fillId="0" borderId="7" xfId="0" applyFont="1" applyFill="1" applyBorder="1" applyAlignment="1" applyProtection="1">
      <alignment horizontal="center" vertical="top"/>
    </xf>
    <xf numFmtId="0" fontId="103" fillId="0" borderId="8" xfId="0" applyFont="1" applyFill="1" applyBorder="1" applyAlignment="1" applyProtection="1">
      <alignment horizontal="center" vertical="top"/>
    </xf>
    <xf numFmtId="0" fontId="103" fillId="0" borderId="35" xfId="0" applyFont="1" applyFill="1" applyBorder="1" applyAlignment="1" applyProtection="1">
      <alignment horizontal="center" vertical="top"/>
    </xf>
    <xf numFmtId="0" fontId="38" fillId="0" borderId="20" xfId="0" applyFont="1" applyFill="1" applyBorder="1" applyAlignment="1" applyProtection="1">
      <alignment horizontal="center" vertical="top"/>
    </xf>
    <xf numFmtId="0" fontId="38" fillId="0" borderId="18" xfId="0" applyFont="1" applyFill="1" applyBorder="1" applyAlignment="1" applyProtection="1">
      <alignment horizontal="center" vertical="top"/>
    </xf>
    <xf numFmtId="0" fontId="38" fillId="0" borderId="11" xfId="0" applyFont="1" applyFill="1" applyBorder="1" applyAlignment="1" applyProtection="1">
      <alignment horizontal="center" vertical="top"/>
    </xf>
    <xf numFmtId="0" fontId="103" fillId="0" borderId="7" xfId="0" applyFont="1" applyFill="1" applyBorder="1" applyAlignment="1" applyProtection="1">
      <alignment horizontal="left" vertical="top" wrapText="1"/>
    </xf>
    <xf numFmtId="0" fontId="103" fillId="0" borderId="8" xfId="0" applyFont="1" applyFill="1" applyBorder="1" applyAlignment="1" applyProtection="1">
      <alignment horizontal="left" vertical="top" wrapText="1"/>
    </xf>
    <xf numFmtId="0" fontId="103" fillId="0" borderId="2" xfId="0" applyFont="1" applyFill="1" applyBorder="1" applyAlignment="1" applyProtection="1">
      <alignment horizontal="left" vertical="top" wrapText="1"/>
    </xf>
    <xf numFmtId="0" fontId="38" fillId="0" borderId="7" xfId="0" applyFont="1" applyFill="1" applyBorder="1" applyAlignment="1" applyProtection="1">
      <alignment horizontal="center" vertical="top"/>
    </xf>
    <xf numFmtId="0" fontId="38" fillId="0" borderId="8" xfId="0" applyFont="1" applyFill="1" applyBorder="1" applyAlignment="1" applyProtection="1">
      <alignment horizontal="center" vertical="top"/>
    </xf>
    <xf numFmtId="0" fontId="38" fillId="0" borderId="2" xfId="0" applyFont="1" applyFill="1" applyBorder="1" applyAlignment="1" applyProtection="1">
      <alignment horizontal="center" vertical="top"/>
    </xf>
    <xf numFmtId="0" fontId="38" fillId="0" borderId="9" xfId="0" applyFont="1" applyFill="1" applyBorder="1" applyAlignment="1" applyProtection="1">
      <alignment horizontal="center" vertical="top"/>
    </xf>
    <xf numFmtId="0" fontId="38" fillId="0" borderId="13" xfId="0" applyFont="1" applyFill="1" applyBorder="1" applyAlignment="1" applyProtection="1">
      <alignment horizontal="center" vertical="top"/>
    </xf>
    <xf numFmtId="0" fontId="38" fillId="0" borderId="14" xfId="0" applyFont="1" applyFill="1" applyBorder="1" applyAlignment="1" applyProtection="1">
      <alignment horizontal="center" vertical="top"/>
    </xf>
    <xf numFmtId="0" fontId="38" fillId="0" borderId="12" xfId="0" applyFont="1" applyFill="1" applyBorder="1" applyAlignment="1" applyProtection="1">
      <alignment horizontal="center" vertical="top"/>
    </xf>
    <xf numFmtId="0" fontId="102" fillId="7" borderId="0" xfId="0" applyFont="1" applyFill="1" applyBorder="1" applyProtection="1"/>
    <xf numFmtId="0" fontId="102" fillId="7" borderId="61" xfId="0" applyFont="1" applyFill="1" applyBorder="1" applyProtection="1"/>
    <xf numFmtId="0" fontId="50" fillId="3" borderId="19" xfId="0" applyFont="1" applyFill="1" applyBorder="1" applyAlignment="1" applyProtection="1">
      <alignment horizontal="left" vertical="center" wrapText="1"/>
    </xf>
    <xf numFmtId="0" fontId="102" fillId="0" borderId="0" xfId="0" applyFont="1" applyBorder="1" applyProtection="1"/>
    <xf numFmtId="0" fontId="102" fillId="0" borderId="16" xfId="0" applyFont="1" applyBorder="1" applyProtection="1"/>
    <xf numFmtId="0" fontId="51" fillId="4" borderId="15" xfId="4" applyFont="1" applyFill="1" applyBorder="1" applyAlignment="1" applyProtection="1">
      <alignment horizontal="left" vertical="center" wrapText="1"/>
    </xf>
    <xf numFmtId="0" fontId="51" fillId="4" borderId="15" xfId="4" applyFont="1" applyFill="1" applyBorder="1" applyAlignment="1" applyProtection="1">
      <alignment horizontal="center" vertical="center" wrapText="1"/>
    </xf>
    <xf numFmtId="0" fontId="51" fillId="4" borderId="16" xfId="4" applyFont="1" applyFill="1" applyBorder="1" applyAlignment="1" applyProtection="1">
      <alignment horizontal="center" vertical="center" wrapText="1"/>
    </xf>
    <xf numFmtId="0" fontId="106" fillId="13" borderId="17" xfId="0" applyFont="1" applyFill="1" applyBorder="1" applyAlignment="1" applyProtection="1">
      <alignment horizontal="center" vertical="center" wrapText="1"/>
    </xf>
    <xf numFmtId="0" fontId="106" fillId="13" borderId="16" xfId="0" applyFont="1" applyFill="1" applyBorder="1" applyAlignment="1" applyProtection="1">
      <alignment horizontal="center" vertical="center" wrapText="1"/>
    </xf>
    <xf numFmtId="0" fontId="103" fillId="17" borderId="7" xfId="0" applyFont="1" applyFill="1" applyBorder="1" applyAlignment="1" applyProtection="1">
      <alignment horizontal="left" vertical="top" wrapText="1"/>
    </xf>
    <xf numFmtId="0" fontId="103" fillId="17" borderId="8" xfId="0" applyFont="1" applyFill="1" applyBorder="1" applyAlignment="1" applyProtection="1">
      <alignment horizontal="left" vertical="top" wrapText="1"/>
    </xf>
    <xf numFmtId="0" fontId="103" fillId="17" borderId="35" xfId="0" applyFont="1" applyFill="1" applyBorder="1" applyAlignment="1" applyProtection="1">
      <alignment horizontal="left" vertical="top" wrapText="1"/>
    </xf>
    <xf numFmtId="0" fontId="0" fillId="26" borderId="58" xfId="0" applyFont="1" applyFill="1" applyBorder="1" applyProtection="1"/>
    <xf numFmtId="0" fontId="0" fillId="26" borderId="60" xfId="0" applyFont="1" applyFill="1" applyBorder="1" applyProtection="1"/>
    <xf numFmtId="0" fontId="9" fillId="0" borderId="23" xfId="0" applyFont="1" applyFill="1" applyBorder="1" applyAlignment="1" applyProtection="1">
      <alignment horizontal="center" vertical="top"/>
    </xf>
    <xf numFmtId="0" fontId="9" fillId="0" borderId="16" xfId="0" applyFont="1" applyFill="1" applyBorder="1" applyAlignment="1" applyProtection="1">
      <alignment horizontal="center" vertical="top"/>
    </xf>
    <xf numFmtId="0" fontId="9" fillId="0" borderId="18" xfId="0" applyFont="1" applyFill="1" applyBorder="1" applyAlignment="1" applyProtection="1">
      <alignment horizontal="center" vertical="top"/>
    </xf>
    <xf numFmtId="0" fontId="9" fillId="0" borderId="11" xfId="0" applyFont="1" applyFill="1" applyBorder="1" applyAlignment="1" applyProtection="1">
      <alignment horizontal="center" vertical="top"/>
    </xf>
    <xf numFmtId="0" fontId="0" fillId="23" borderId="17" xfId="0" applyFill="1" applyBorder="1" applyProtection="1"/>
    <xf numFmtId="0" fontId="0" fillId="23" borderId="18" xfId="0" applyFill="1" applyBorder="1" applyProtection="1"/>
    <xf numFmtId="0" fontId="30" fillId="0" borderId="7" xfId="0" applyFont="1" applyFill="1" applyBorder="1" applyAlignment="1" applyProtection="1">
      <alignment horizontal="center" vertical="top"/>
    </xf>
    <xf numFmtId="0" fontId="30" fillId="0" borderId="8" xfId="0" applyFont="1" applyFill="1" applyBorder="1" applyAlignment="1" applyProtection="1">
      <alignment horizontal="center" vertical="top"/>
    </xf>
    <xf numFmtId="0" fontId="30" fillId="0" borderId="2" xfId="0" applyFont="1" applyFill="1" applyBorder="1" applyAlignment="1" applyProtection="1">
      <alignment horizontal="center" vertical="top"/>
    </xf>
    <xf numFmtId="0" fontId="30" fillId="0" borderId="15" xfId="0" applyFont="1" applyFill="1" applyBorder="1" applyAlignment="1" applyProtection="1">
      <alignment horizontal="center" vertical="top"/>
    </xf>
    <xf numFmtId="0" fontId="30" fillId="0" borderId="19" xfId="0" applyFont="1" applyFill="1" applyBorder="1" applyAlignment="1" applyProtection="1">
      <alignment horizontal="center" vertical="top"/>
    </xf>
    <xf numFmtId="0" fontId="30" fillId="0" borderId="10" xfId="0" applyFont="1" applyFill="1" applyBorder="1" applyAlignment="1" applyProtection="1">
      <alignment horizontal="center" vertical="top"/>
    </xf>
    <xf numFmtId="0" fontId="30" fillId="0" borderId="35" xfId="0" applyFont="1" applyFill="1" applyBorder="1" applyAlignment="1" applyProtection="1">
      <alignment horizontal="center" vertical="top"/>
    </xf>
    <xf numFmtId="0" fontId="30" fillId="0" borderId="44" xfId="0" applyFont="1" applyFill="1" applyBorder="1" applyAlignment="1" applyProtection="1">
      <alignment horizontal="center" vertical="top"/>
    </xf>
    <xf numFmtId="0" fontId="30" fillId="0" borderId="45" xfId="0" applyFont="1" applyFill="1" applyBorder="1" applyAlignment="1" applyProtection="1">
      <alignment horizontal="center" vertical="top"/>
    </xf>
    <xf numFmtId="0" fontId="30" fillId="0" borderId="46" xfId="0" applyFont="1" applyFill="1" applyBorder="1" applyAlignment="1" applyProtection="1">
      <alignment horizontal="center" vertical="top"/>
    </xf>
    <xf numFmtId="0" fontId="30" fillId="0" borderId="22" xfId="0" applyFont="1" applyFill="1" applyBorder="1" applyAlignment="1" applyProtection="1">
      <alignment horizontal="center" vertical="top"/>
    </xf>
    <xf numFmtId="0" fontId="37" fillId="0" borderId="43" xfId="0" applyFont="1" applyFill="1" applyBorder="1" applyAlignment="1" applyProtection="1">
      <alignment horizontal="left" wrapText="1"/>
      <protection locked="0"/>
    </xf>
    <xf numFmtId="0" fontId="37" fillId="0" borderId="41" xfId="0" applyFont="1" applyFill="1" applyBorder="1" applyAlignment="1" applyProtection="1">
      <alignment horizontal="left" wrapText="1"/>
      <protection locked="0"/>
    </xf>
    <xf numFmtId="0" fontId="37" fillId="0" borderId="42" xfId="0" applyFont="1" applyFill="1" applyBorder="1" applyAlignment="1" applyProtection="1">
      <alignment horizontal="left" wrapText="1"/>
      <protection locked="0"/>
    </xf>
    <xf numFmtId="0" fontId="37" fillId="0" borderId="19" xfId="0" applyFont="1" applyFill="1" applyBorder="1" applyAlignment="1" applyProtection="1">
      <alignment horizontal="left" wrapText="1"/>
      <protection locked="0"/>
    </xf>
    <xf numFmtId="0" fontId="37" fillId="0" borderId="0" xfId="0" applyFont="1" applyFill="1" applyBorder="1" applyAlignment="1" applyProtection="1">
      <alignment horizontal="left" wrapText="1"/>
      <protection locked="0"/>
    </xf>
    <xf numFmtId="0" fontId="37" fillId="0" borderId="61" xfId="0" applyFont="1" applyFill="1" applyBorder="1" applyAlignment="1" applyProtection="1">
      <alignment horizontal="left" wrapText="1"/>
      <protection locked="0"/>
    </xf>
    <xf numFmtId="0" fontId="64" fillId="15" borderId="59" xfId="0" applyFont="1" applyFill="1" applyBorder="1" applyAlignment="1" applyProtection="1">
      <alignment horizontal="left"/>
    </xf>
    <xf numFmtId="0" fontId="64" fillId="15" borderId="58" xfId="0" applyFont="1" applyFill="1" applyBorder="1" applyAlignment="1" applyProtection="1">
      <alignment horizontal="left"/>
    </xf>
    <xf numFmtId="0" fontId="64" fillId="15" borderId="60" xfId="0" applyFont="1" applyFill="1" applyBorder="1" applyAlignment="1" applyProtection="1">
      <alignment horizontal="left"/>
    </xf>
    <xf numFmtId="0" fontId="24" fillId="0" borderId="2" xfId="0" applyFont="1" applyFill="1" applyBorder="1" applyAlignment="1" applyProtection="1">
      <alignment horizontal="center" vertical="top"/>
    </xf>
    <xf numFmtId="0" fontId="71" fillId="15" borderId="17" xfId="0" applyFont="1" applyFill="1" applyBorder="1" applyAlignment="1" applyProtection="1">
      <alignment horizontal="center" vertical="center" wrapText="1"/>
    </xf>
    <xf numFmtId="0" fontId="71" fillId="15" borderId="16" xfId="0" applyFont="1" applyFill="1" applyBorder="1" applyAlignment="1" applyProtection="1">
      <alignment horizontal="center" vertical="center" wrapText="1"/>
    </xf>
    <xf numFmtId="0" fontId="67" fillId="13" borderId="15" xfId="0" applyFont="1" applyFill="1" applyBorder="1" applyAlignment="1" applyProtection="1">
      <alignment horizontal="center" vertical="center" wrapText="1"/>
    </xf>
    <xf numFmtId="0" fontId="24" fillId="0" borderId="7" xfId="0" applyFont="1" applyFill="1" applyBorder="1" applyAlignment="1" applyProtection="1">
      <alignment horizontal="left" vertical="top"/>
    </xf>
    <xf numFmtId="0" fontId="24" fillId="0" borderId="8" xfId="0" applyFont="1" applyFill="1" applyBorder="1" applyAlignment="1" applyProtection="1">
      <alignment horizontal="left" vertical="top"/>
    </xf>
    <xf numFmtId="0" fontId="24" fillId="0" borderId="2" xfId="0" applyFont="1" applyFill="1" applyBorder="1" applyAlignment="1" applyProtection="1">
      <alignment horizontal="left" vertical="top"/>
    </xf>
    <xf numFmtId="0" fontId="56" fillId="13" borderId="18" xfId="0" applyFont="1" applyFill="1" applyBorder="1" applyAlignment="1" applyProtection="1">
      <alignment horizontal="center" vertical="center" wrapText="1"/>
    </xf>
    <xf numFmtId="0" fontId="87" fillId="29" borderId="15" xfId="0" applyFont="1" applyFill="1" applyBorder="1" applyAlignment="1" applyProtection="1">
      <alignment horizontal="center" vertical="center"/>
    </xf>
    <xf numFmtId="0" fontId="87" fillId="29" borderId="16" xfId="0" applyFont="1" applyFill="1" applyBorder="1" applyAlignment="1" applyProtection="1">
      <alignment horizontal="center" vertical="center"/>
    </xf>
    <xf numFmtId="0" fontId="80" fillId="28" borderId="17" xfId="0" applyFont="1" applyFill="1" applyBorder="1" applyAlignment="1" applyProtection="1">
      <alignment horizontal="center" vertical="center"/>
    </xf>
    <xf numFmtId="0" fontId="95" fillId="15" borderId="17" xfId="0" applyFont="1" applyFill="1" applyBorder="1" applyAlignment="1" applyProtection="1">
      <alignment horizontal="center" vertical="center"/>
    </xf>
    <xf numFmtId="0" fontId="95" fillId="15" borderId="16" xfId="0" applyFont="1" applyFill="1" applyBorder="1" applyAlignment="1" applyProtection="1">
      <alignment horizontal="center" vertical="center"/>
    </xf>
    <xf numFmtId="0" fontId="87" fillId="27" borderId="15" xfId="0" applyFont="1" applyFill="1" applyBorder="1" applyAlignment="1" applyProtection="1">
      <alignment horizontal="center" vertical="center"/>
    </xf>
    <xf numFmtId="0" fontId="87" fillId="27" borderId="16" xfId="0" applyFont="1" applyFill="1" applyBorder="1" applyAlignment="1" applyProtection="1">
      <alignment horizontal="center" vertical="center"/>
    </xf>
    <xf numFmtId="0" fontId="56" fillId="13" borderId="0" xfId="0" applyFont="1" applyFill="1" applyBorder="1" applyAlignment="1" applyProtection="1">
      <alignment horizontal="center" vertical="center" wrapText="1"/>
    </xf>
    <xf numFmtId="0" fontId="80" fillId="24" borderId="17" xfId="0" applyFont="1" applyFill="1" applyBorder="1" applyAlignment="1" applyProtection="1">
      <alignment horizontal="center" vertical="center"/>
    </xf>
    <xf numFmtId="0" fontId="80" fillId="18" borderId="15" xfId="0" applyFont="1" applyFill="1" applyBorder="1" applyAlignment="1" applyProtection="1">
      <alignment horizontal="center" vertical="center"/>
    </xf>
    <xf numFmtId="0" fontId="80" fillId="18" borderId="16" xfId="0" applyFont="1" applyFill="1" applyBorder="1" applyAlignment="1" applyProtection="1">
      <alignment horizontal="center" vertical="center"/>
    </xf>
    <xf numFmtId="0" fontId="80" fillId="26" borderId="17" xfId="0" applyFont="1" applyFill="1" applyBorder="1" applyAlignment="1" applyProtection="1">
      <alignment horizontal="center" vertical="center"/>
    </xf>
    <xf numFmtId="0" fontId="80" fillId="23" borderId="15" xfId="0" applyFont="1" applyFill="1" applyBorder="1" applyAlignment="1" applyProtection="1">
      <alignment horizontal="center" vertical="center"/>
    </xf>
    <xf numFmtId="0" fontId="80" fillId="23" borderId="16" xfId="0" applyFont="1" applyFill="1" applyBorder="1" applyAlignment="1" applyProtection="1">
      <alignment horizontal="center" vertical="center"/>
    </xf>
    <xf numFmtId="0" fontId="87" fillId="15" borderId="15" xfId="0" applyFont="1" applyFill="1" applyBorder="1" applyAlignment="1" applyProtection="1">
      <alignment horizontal="center" vertical="center"/>
    </xf>
    <xf numFmtId="0" fontId="87" fillId="15" borderId="16" xfId="0" applyFont="1" applyFill="1" applyBorder="1" applyAlignment="1" applyProtection="1">
      <alignment horizontal="center" vertical="center"/>
    </xf>
    <xf numFmtId="0" fontId="56" fillId="13" borderId="19" xfId="0" applyFont="1" applyFill="1" applyBorder="1" applyAlignment="1" applyProtection="1">
      <alignment horizontal="center" vertical="center" wrapText="1"/>
    </xf>
    <xf numFmtId="0" fontId="37" fillId="9" borderId="7" xfId="0" applyFont="1" applyFill="1" applyBorder="1" applyAlignment="1" applyProtection="1">
      <alignment horizontal="center" vertical="top"/>
    </xf>
    <xf numFmtId="0" fontId="37" fillId="9" borderId="8" xfId="0" applyFont="1" applyFill="1" applyBorder="1" applyAlignment="1" applyProtection="1">
      <alignment horizontal="center" vertical="top"/>
    </xf>
    <xf numFmtId="0" fontId="37" fillId="9" borderId="2" xfId="0" applyFont="1" applyFill="1" applyBorder="1" applyAlignment="1" applyProtection="1">
      <alignment horizontal="center" vertical="top"/>
    </xf>
    <xf numFmtId="0" fontId="37" fillId="9" borderId="7" xfId="0" applyFont="1" applyFill="1" applyBorder="1" applyAlignment="1" applyProtection="1">
      <alignment horizontal="left" vertical="top" wrapText="1"/>
    </xf>
    <xf numFmtId="0" fontId="37" fillId="9" borderId="2" xfId="0" applyFont="1" applyFill="1" applyBorder="1" applyAlignment="1" applyProtection="1">
      <alignment horizontal="left" vertical="top" wrapText="1"/>
    </xf>
    <xf numFmtId="0" fontId="37" fillId="9" borderId="8" xfId="0" applyFont="1" applyFill="1" applyBorder="1" applyAlignment="1" applyProtection="1">
      <alignment horizontal="left" vertical="top" wrapText="1"/>
    </xf>
    <xf numFmtId="0" fontId="96" fillId="26" borderId="17" xfId="0" applyFont="1" applyFill="1" applyBorder="1" applyAlignment="1" applyProtection="1">
      <alignment horizontal="center" vertical="center"/>
    </xf>
    <xf numFmtId="0" fontId="96" fillId="23" borderId="15" xfId="0" applyFont="1" applyFill="1" applyBorder="1" applyAlignment="1" applyProtection="1">
      <alignment horizontal="center" vertical="center"/>
    </xf>
    <xf numFmtId="0" fontId="96" fillId="23" borderId="17" xfId="0" applyFont="1" applyFill="1" applyBorder="1" applyAlignment="1" applyProtection="1">
      <alignment horizontal="center" vertical="center"/>
    </xf>
    <xf numFmtId="0" fontId="96" fillId="23" borderId="16" xfId="0" applyFont="1" applyFill="1" applyBorder="1" applyAlignment="1" applyProtection="1">
      <alignment horizontal="center" vertical="center"/>
    </xf>
    <xf numFmtId="0" fontId="95" fillId="29" borderId="15" xfId="0" applyFont="1" applyFill="1" applyBorder="1" applyAlignment="1" applyProtection="1">
      <alignment horizontal="center" vertical="center"/>
    </xf>
    <xf numFmtId="0" fontId="95" fillId="29" borderId="17" xfId="0" applyFont="1" applyFill="1" applyBorder="1" applyAlignment="1" applyProtection="1">
      <alignment horizontal="center" vertical="center"/>
    </xf>
    <xf numFmtId="0" fontId="95" fillId="29" borderId="16" xfId="0" applyFont="1" applyFill="1" applyBorder="1" applyAlignment="1" applyProtection="1">
      <alignment horizontal="center" vertical="center"/>
    </xf>
    <xf numFmtId="0" fontId="96" fillId="28" borderId="0" xfId="0" applyFont="1" applyFill="1" applyBorder="1" applyAlignment="1" applyProtection="1">
      <alignment horizontal="center" vertical="center"/>
    </xf>
    <xf numFmtId="0" fontId="96" fillId="28" borderId="17" xfId="0" applyFont="1" applyFill="1" applyBorder="1" applyAlignment="1" applyProtection="1">
      <alignment horizontal="center" vertical="center"/>
    </xf>
    <xf numFmtId="0" fontId="95" fillId="27" borderId="15" xfId="0" applyFont="1" applyFill="1" applyBorder="1" applyAlignment="1" applyProtection="1">
      <alignment horizontal="center" vertical="center"/>
    </xf>
    <xf numFmtId="0" fontId="95" fillId="27" borderId="17" xfId="0" applyFont="1" applyFill="1" applyBorder="1" applyAlignment="1" applyProtection="1">
      <alignment horizontal="center" vertical="center"/>
    </xf>
    <xf numFmtId="0" fontId="95" fillId="27" borderId="16" xfId="0" applyFont="1" applyFill="1" applyBorder="1" applyAlignment="1" applyProtection="1">
      <alignment horizontal="center" vertical="center"/>
    </xf>
    <xf numFmtId="0" fontId="96" fillId="24" borderId="17" xfId="0" applyFont="1" applyFill="1" applyBorder="1" applyAlignment="1" applyProtection="1">
      <alignment horizontal="center" vertical="center"/>
    </xf>
    <xf numFmtId="0" fontId="96" fillId="18" borderId="15" xfId="0" applyFont="1" applyFill="1" applyBorder="1" applyAlignment="1" applyProtection="1">
      <alignment horizontal="center" vertical="center"/>
    </xf>
    <xf numFmtId="0" fontId="96" fillId="18" borderId="17" xfId="0" applyFont="1" applyFill="1" applyBorder="1" applyAlignment="1" applyProtection="1">
      <alignment horizontal="center" vertical="center"/>
    </xf>
    <xf numFmtId="0" fontId="96" fillId="18" borderId="16" xfId="0" applyFont="1" applyFill="1" applyBorder="1" applyAlignment="1" applyProtection="1">
      <alignment horizontal="center" vertical="center"/>
    </xf>
    <xf numFmtId="0" fontId="37" fillId="0" borderId="7" xfId="0" applyFont="1" applyFill="1" applyBorder="1" applyAlignment="1" applyProtection="1">
      <alignment horizontal="left" vertical="top" wrapText="1"/>
    </xf>
    <xf numFmtId="0" fontId="37" fillId="0" borderId="8" xfId="0" applyFont="1" applyFill="1" applyBorder="1" applyAlignment="1" applyProtection="1">
      <alignment horizontal="left" vertical="top" wrapText="1"/>
    </xf>
    <xf numFmtId="0" fontId="37" fillId="0" borderId="2" xfId="0" applyFont="1" applyFill="1" applyBorder="1" applyAlignment="1" applyProtection="1">
      <alignment horizontal="left" vertical="top" wrapText="1"/>
    </xf>
    <xf numFmtId="0" fontId="72" fillId="0" borderId="7" xfId="0" applyFont="1" applyFill="1" applyBorder="1" applyAlignment="1" applyProtection="1">
      <alignment horizontal="left" vertical="top" wrapText="1"/>
    </xf>
    <xf numFmtId="0" fontId="72" fillId="0" borderId="8" xfId="0" applyFont="1" applyFill="1" applyBorder="1" applyAlignment="1" applyProtection="1">
      <alignment horizontal="left" vertical="top" wrapText="1"/>
    </xf>
    <xf numFmtId="0" fontId="72" fillId="0" borderId="2" xfId="0" applyFont="1" applyFill="1" applyBorder="1" applyAlignment="1" applyProtection="1">
      <alignment horizontal="left" vertical="top" wrapText="1"/>
    </xf>
    <xf numFmtId="0" fontId="111" fillId="4" borderId="1" xfId="0" applyFont="1" applyFill="1" applyBorder="1" applyAlignment="1">
      <alignment horizontal="center" vertical="center" wrapText="1"/>
    </xf>
    <xf numFmtId="0" fontId="111" fillId="4" borderId="3" xfId="0" applyFont="1" applyFill="1" applyBorder="1" applyAlignment="1">
      <alignment horizontal="center" vertical="top" wrapText="1"/>
    </xf>
    <xf numFmtId="0" fontId="111" fillId="4" borderId="5" xfId="0" applyFont="1" applyFill="1" applyBorder="1" applyAlignment="1">
      <alignment horizontal="center" vertical="top" wrapText="1"/>
    </xf>
    <xf numFmtId="0" fontId="111" fillId="4" borderId="6" xfId="0" applyFont="1" applyFill="1" applyBorder="1" applyAlignment="1">
      <alignment horizontal="center" vertical="top" wrapText="1"/>
    </xf>
    <xf numFmtId="167" fontId="111" fillId="4" borderId="7" xfId="0" applyNumberFormat="1" applyFont="1" applyFill="1" applyBorder="1" applyAlignment="1">
      <alignment horizontal="center" vertical="center" wrapText="1"/>
    </xf>
    <xf numFmtId="167" fontId="111" fillId="4" borderId="35" xfId="0" applyNumberFormat="1" applyFont="1" applyFill="1" applyBorder="1" applyAlignment="1">
      <alignment horizontal="center" vertical="center" wrapText="1"/>
    </xf>
    <xf numFmtId="0" fontId="111" fillId="4" borderId="7" xfId="0" applyFont="1" applyFill="1" applyBorder="1" applyAlignment="1">
      <alignment horizontal="left" vertical="center" wrapText="1"/>
    </xf>
    <xf numFmtId="0" fontId="111" fillId="4" borderId="35" xfId="0" applyFont="1" applyFill="1" applyBorder="1" applyAlignment="1">
      <alignment horizontal="left" vertical="center" wrapText="1"/>
    </xf>
    <xf numFmtId="0" fontId="111" fillId="4" borderId="7" xfId="0" applyFont="1" applyFill="1" applyBorder="1" applyAlignment="1">
      <alignment horizontal="center" vertical="center" wrapText="1"/>
    </xf>
    <xf numFmtId="0" fontId="111" fillId="4" borderId="35" xfId="0" applyFont="1" applyFill="1" applyBorder="1" applyAlignment="1">
      <alignment horizontal="center" vertical="center" wrapText="1"/>
    </xf>
    <xf numFmtId="0" fontId="115" fillId="0" borderId="0" xfId="0" applyFont="1" applyFill="1" applyAlignment="1">
      <alignment vertical="center" wrapText="1"/>
    </xf>
    <xf numFmtId="0" fontId="43" fillId="0" borderId="0" xfId="0" applyFont="1" applyFill="1" applyAlignment="1">
      <alignment vertical="center"/>
    </xf>
    <xf numFmtId="0" fontId="111" fillId="4" borderId="1" xfId="0" applyFont="1" applyFill="1" applyBorder="1" applyAlignment="1">
      <alignment horizontal="center" vertical="top" wrapText="1"/>
    </xf>
    <xf numFmtId="0" fontId="111" fillId="4" borderId="5" xfId="0" applyFont="1" applyFill="1" applyBorder="1" applyAlignment="1">
      <alignment horizontal="center" vertical="top"/>
    </xf>
    <xf numFmtId="0" fontId="111" fillId="4" borderId="6" xfId="0" applyFont="1" applyFill="1" applyBorder="1" applyAlignment="1">
      <alignment horizontal="center" vertical="top"/>
    </xf>
    <xf numFmtId="0" fontId="111" fillId="4" borderId="7" xfId="0" applyFont="1" applyFill="1" applyBorder="1" applyAlignment="1">
      <alignment horizontal="center" vertical="top" wrapText="1"/>
    </xf>
    <xf numFmtId="0" fontId="111" fillId="4" borderId="35" xfId="0" applyFont="1" applyFill="1" applyBorder="1" applyAlignment="1">
      <alignment horizontal="center" vertical="top" wrapText="1"/>
    </xf>
    <xf numFmtId="0" fontId="111" fillId="4" borderId="7" xfId="0" applyFont="1" applyFill="1" applyBorder="1" applyAlignment="1">
      <alignment horizontal="left" vertical="top" wrapText="1"/>
    </xf>
    <xf numFmtId="0" fontId="111" fillId="4" borderId="35" xfId="0" applyFont="1" applyFill="1" applyBorder="1" applyAlignment="1">
      <alignment horizontal="left" vertical="top" wrapText="1"/>
    </xf>
    <xf numFmtId="0" fontId="115" fillId="0" borderId="0" xfId="0" applyFont="1" applyFill="1" applyAlignment="1">
      <alignment vertical="top" wrapText="1"/>
    </xf>
    <xf numFmtId="0" fontId="43" fillId="0" borderId="0" xfId="0" applyFont="1" applyFill="1" applyAlignment="1">
      <alignment vertical="top"/>
    </xf>
    <xf numFmtId="0" fontId="111" fillId="4" borderId="1" xfId="0" quotePrefix="1" applyFont="1" applyFill="1" applyBorder="1" applyAlignment="1">
      <alignment horizontal="left" vertical="top" wrapText="1"/>
    </xf>
    <xf numFmtId="0" fontId="111" fillId="4" borderId="1" xfId="0" applyFont="1" applyFill="1" applyBorder="1" applyAlignment="1">
      <alignment horizontal="left" vertical="top" wrapText="1"/>
    </xf>
    <xf numFmtId="167" fontId="111" fillId="4" borderId="7" xfId="0" applyNumberFormat="1" applyFont="1" applyFill="1" applyBorder="1" applyAlignment="1">
      <alignment horizontal="center" vertical="top" wrapText="1"/>
    </xf>
    <xf numFmtId="167" fontId="111" fillId="4" borderId="35" xfId="0" applyNumberFormat="1" applyFont="1" applyFill="1" applyBorder="1" applyAlignment="1">
      <alignment horizontal="center" vertical="top" wrapText="1"/>
    </xf>
  </cellXfs>
  <cellStyles count="17">
    <cellStyle name="Comma [0] 2" xfId="1"/>
    <cellStyle name="Comma [0] 2 2" xfId="5"/>
    <cellStyle name="Comma 2" xfId="10"/>
    <cellStyle name="Followed Hyperlink" xfId="2" builtinId="9" customBuiltin="1"/>
    <cellStyle name="Followed Hyperlink 2" xfId="9"/>
    <cellStyle name="Hyperlink" xfId="3" builtinId="8"/>
    <cellStyle name="Hyperlink 2" xfId="11"/>
    <cellStyle name="Hyperlink 3" xfId="15"/>
    <cellStyle name="Normal" xfId="0" builtinId="0"/>
    <cellStyle name="Normal 2" xfId="4"/>
    <cellStyle name="Normal 3" xfId="6"/>
    <cellStyle name="Normal 3 19" xfId="12"/>
    <cellStyle name="Normal 3 2" xfId="13"/>
    <cellStyle name="Normal 4" xfId="8"/>
    <cellStyle name="Normal 5" xfId="14"/>
    <cellStyle name="Normal 6" xfId="7"/>
    <cellStyle name="Percent" xfId="16" builtinId="5"/>
  </cellStyles>
  <dxfs count="71">
    <dxf>
      <fill>
        <patternFill>
          <bgColor rgb="FFFF7C80"/>
        </patternFill>
      </fill>
    </dxf>
    <dxf>
      <border>
        <left style="thin">
          <color rgb="FF0000FF"/>
        </left>
        <right style="thin">
          <color rgb="FF0000FF"/>
        </right>
        <top style="thin">
          <color rgb="FF0000FF"/>
        </top>
        <bottom style="thin">
          <color rgb="FF0000FF"/>
        </bottom>
        <vertical/>
        <horizontal/>
      </border>
    </dxf>
    <dxf>
      <fill>
        <patternFill>
          <bgColor rgb="FFFF7C80"/>
        </patternFill>
      </fill>
    </dxf>
    <dxf>
      <border>
        <left style="thin">
          <color rgb="FF0000FF"/>
        </left>
        <right style="thin">
          <color rgb="FF0000FF"/>
        </right>
        <top style="thin">
          <color rgb="FF0000FF"/>
        </top>
        <bottom style="thin">
          <color rgb="FF0000FF"/>
        </bottom>
        <vertical/>
        <horizontal/>
      </border>
    </dxf>
    <dxf>
      <fill>
        <patternFill>
          <bgColor rgb="FFFF7C80"/>
        </patternFill>
      </fill>
    </dxf>
    <dxf>
      <border>
        <left style="thin">
          <color rgb="FF0000FF"/>
        </left>
        <right style="thin">
          <color rgb="FF0000FF"/>
        </right>
        <top style="thin">
          <color rgb="FF0000FF"/>
        </top>
        <bottom style="thin">
          <color rgb="FF0000FF"/>
        </bottom>
        <vertical/>
        <horizontal/>
      </border>
    </dxf>
    <dxf>
      <fill>
        <patternFill>
          <bgColor rgb="FFFF7C80"/>
        </patternFill>
      </fill>
    </dxf>
    <dxf>
      <border>
        <left style="thin">
          <color rgb="FF0000FF"/>
        </left>
        <right style="thin">
          <color rgb="FF0000FF"/>
        </right>
        <top style="thin">
          <color rgb="FF0000FF"/>
        </top>
        <bottom style="thin">
          <color rgb="FF0000FF"/>
        </bottom>
        <vertical/>
        <horizontal/>
      </border>
    </dxf>
    <dxf>
      <fill>
        <patternFill>
          <bgColor rgb="FFFF7C80"/>
        </patternFill>
      </fill>
    </dxf>
    <dxf>
      <border>
        <left style="thin">
          <color rgb="FF0000FF"/>
        </left>
        <right style="thin">
          <color rgb="FF0000FF"/>
        </right>
        <top style="thin">
          <color rgb="FF0000FF"/>
        </top>
        <bottom style="thin">
          <color rgb="FF0000FF"/>
        </bottom>
        <vertical/>
        <horizontal/>
      </border>
    </dxf>
    <dxf>
      <fill>
        <patternFill>
          <bgColor rgb="FFFF7C80"/>
        </patternFill>
      </fill>
    </dxf>
    <dxf>
      <border>
        <left style="thin">
          <color rgb="FF0000FF"/>
        </left>
        <right style="thin">
          <color rgb="FF0000FF"/>
        </right>
        <top style="thin">
          <color rgb="FF0000FF"/>
        </top>
        <bottom style="thin">
          <color rgb="FF0000FF"/>
        </bottom>
        <vertical/>
        <horizontal/>
      </border>
    </dxf>
    <dxf>
      <fill>
        <patternFill>
          <bgColor rgb="FFFF7C80"/>
        </patternFill>
      </fill>
    </dxf>
    <dxf>
      <border>
        <left style="thin">
          <color rgb="FF0000FF"/>
        </left>
        <right style="thin">
          <color rgb="FF0000FF"/>
        </right>
        <top style="thin">
          <color rgb="FF0000FF"/>
        </top>
        <bottom style="thin">
          <color rgb="FF0000FF"/>
        </bottom>
        <vertical/>
        <horizontal/>
      </border>
    </dxf>
    <dxf>
      <fill>
        <patternFill>
          <bgColor rgb="FFFF7C80"/>
        </patternFill>
      </fill>
    </dxf>
    <dxf>
      <border>
        <left style="thin">
          <color rgb="FF0000FF"/>
        </left>
        <right style="thin">
          <color rgb="FF0000FF"/>
        </right>
        <top style="thin">
          <color rgb="FF0000FF"/>
        </top>
        <bottom style="thin">
          <color rgb="FF0000FF"/>
        </bottom>
        <vertical/>
        <horizontal/>
      </border>
    </dxf>
    <dxf>
      <fill>
        <patternFill>
          <bgColor rgb="FFFF7C80"/>
        </patternFill>
      </fill>
    </dxf>
    <dxf>
      <border>
        <left style="thin">
          <color rgb="FF0000FF"/>
        </left>
        <right style="thin">
          <color rgb="FF0000FF"/>
        </right>
        <top style="thin">
          <color rgb="FF0000FF"/>
        </top>
        <bottom style="thin">
          <color rgb="FF0000FF"/>
        </bottom>
        <vertical/>
        <horizontal/>
      </border>
    </dxf>
    <dxf>
      <fill>
        <patternFill>
          <bgColor rgb="FFFF7C80"/>
        </patternFill>
      </fill>
    </dxf>
    <dxf>
      <border>
        <left style="thin">
          <color rgb="FF0000FF"/>
        </left>
        <right style="thin">
          <color rgb="FF0000FF"/>
        </right>
        <top style="thin">
          <color rgb="FF0000FF"/>
        </top>
        <bottom style="thin">
          <color rgb="FF0000FF"/>
        </bottom>
        <vertical/>
        <horizontal/>
      </border>
    </dxf>
    <dxf>
      <fill>
        <patternFill>
          <bgColor rgb="FFFF7C80"/>
        </patternFill>
      </fill>
    </dxf>
    <dxf>
      <border>
        <left style="thin">
          <color rgb="FF0000FF"/>
        </left>
        <right style="thin">
          <color rgb="FF0000FF"/>
        </right>
        <top style="thin">
          <color rgb="FF0000FF"/>
        </top>
        <bottom style="thin">
          <color rgb="FF0000FF"/>
        </bottom>
        <vertical/>
        <horizontal/>
      </border>
    </dxf>
    <dxf>
      <fill>
        <patternFill>
          <bgColor rgb="FFFF7C80"/>
        </patternFill>
      </fill>
    </dxf>
    <dxf>
      <border>
        <left style="thin">
          <color rgb="FF0000FF"/>
        </left>
        <right style="thin">
          <color rgb="FF0000FF"/>
        </right>
        <top style="thin">
          <color rgb="FF0000FF"/>
        </top>
        <bottom style="thin">
          <color rgb="FF0000FF"/>
        </bottom>
        <vertical/>
        <horizontal/>
      </border>
    </dxf>
    <dxf>
      <fill>
        <patternFill>
          <bgColor rgb="FFFF7C80"/>
        </patternFill>
      </fill>
    </dxf>
    <dxf>
      <border>
        <left style="thin">
          <color rgb="FF0000FF"/>
        </left>
        <right style="thin">
          <color rgb="FF0000FF"/>
        </right>
        <top style="thin">
          <color rgb="FF0000FF"/>
        </top>
        <bottom style="thin">
          <color rgb="FF0000FF"/>
        </bottom>
        <vertical/>
        <horizontal/>
      </border>
    </dxf>
    <dxf>
      <fill>
        <patternFill>
          <bgColor rgb="FFFF7C80"/>
        </patternFill>
      </fill>
    </dxf>
    <dxf>
      <border>
        <left style="thin">
          <color rgb="FF0000FF"/>
        </left>
        <right style="thin">
          <color rgb="FF0000FF"/>
        </right>
        <top style="thin">
          <color rgb="FF0000FF"/>
        </top>
        <bottom style="thin">
          <color rgb="FF0000FF"/>
        </bottom>
        <vertical/>
        <horizontal/>
      </border>
    </dxf>
    <dxf>
      <font>
        <color auto="1"/>
      </font>
      <fill>
        <patternFill>
          <bgColor rgb="FFFF7C80"/>
        </patternFill>
      </fill>
    </dxf>
    <dxf>
      <font>
        <color auto="1"/>
      </font>
      <fill>
        <patternFill>
          <bgColor rgb="FFFF7C80"/>
        </patternFill>
      </fill>
    </dxf>
    <dxf>
      <border>
        <left style="thin">
          <color rgb="FF0000FF"/>
        </left>
        <right style="thin">
          <color rgb="FF0000FF"/>
        </right>
        <top style="thin">
          <color rgb="FF0000FF"/>
        </top>
        <bottom style="thin">
          <color rgb="FF0000FF"/>
        </bottom>
        <vertical/>
        <horizontal/>
      </border>
    </dxf>
    <dxf>
      <font>
        <color auto="1"/>
      </font>
      <fill>
        <patternFill>
          <bgColor rgb="FFFF7C80"/>
        </patternFill>
      </fill>
    </dxf>
    <dxf>
      <border>
        <left style="thin">
          <color rgb="FF0000FF"/>
        </left>
        <right style="thin">
          <color rgb="FF0000FF"/>
        </right>
        <top style="thin">
          <color rgb="FF0000FF"/>
        </top>
        <bottom style="thin">
          <color rgb="FF0000FF"/>
        </bottom>
        <vertical/>
        <horizontal/>
      </border>
    </dxf>
    <dxf>
      <border>
        <left style="thin">
          <color rgb="FF0000FF"/>
        </left>
        <right style="thin">
          <color rgb="FF0000FF"/>
        </right>
        <top style="thin">
          <color rgb="FF0000FF"/>
        </top>
        <bottom style="thin">
          <color rgb="FF0000FF"/>
        </bottom>
        <vertical/>
        <horizontal/>
      </border>
    </dxf>
    <dxf>
      <border>
        <left style="thin">
          <color rgb="FF0000FF"/>
        </left>
        <right style="thin">
          <color rgb="FF0000FF"/>
        </right>
        <top style="thin">
          <color rgb="FF0000FF"/>
        </top>
        <bottom style="thin">
          <color rgb="FF0000FF"/>
        </bottom>
        <vertical/>
        <horizontal/>
      </border>
    </dxf>
    <dxf>
      <border>
        <left style="thin">
          <color rgb="FF0000FF"/>
        </left>
        <right style="thin">
          <color rgb="FF0000FF"/>
        </right>
        <top style="thin">
          <color rgb="FF0000FF"/>
        </top>
        <bottom style="thin">
          <color rgb="FF0000FF"/>
        </bottom>
        <vertical/>
        <horizontal/>
      </border>
    </dxf>
    <dxf>
      <border>
        <left style="thin">
          <color rgb="FF0000FF"/>
        </left>
        <right style="thin">
          <color rgb="FF0000FF"/>
        </right>
        <top style="thin">
          <color rgb="FF0000FF"/>
        </top>
        <bottom style="thin">
          <color rgb="FF0000FF"/>
        </bottom>
        <vertical/>
        <horizontal/>
      </border>
    </dxf>
    <dxf>
      <border>
        <left style="thin">
          <color rgb="FF0000FF"/>
        </left>
        <right style="thin">
          <color rgb="FF0000FF"/>
        </right>
        <top style="thin">
          <color rgb="FF0000FF"/>
        </top>
        <bottom style="thin">
          <color rgb="FF0000FF"/>
        </bottom>
        <vertical/>
        <horizontal/>
      </border>
    </dxf>
    <dxf>
      <border>
        <left style="thin">
          <color rgb="FF0000FF"/>
        </left>
        <right style="thin">
          <color rgb="FF0000FF"/>
        </right>
        <top style="thin">
          <color rgb="FF0000FF"/>
        </top>
        <bottom style="thin">
          <color rgb="FF0000FF"/>
        </bottom>
        <vertical/>
        <horizontal/>
      </border>
    </dxf>
    <dxf>
      <border>
        <left style="thin">
          <color rgb="FF0000FF"/>
        </left>
        <right style="thin">
          <color rgb="FF0000FF"/>
        </right>
        <top style="thin">
          <color rgb="FF0000FF"/>
        </top>
        <bottom style="thin">
          <color rgb="FF0000FF"/>
        </bottom>
        <vertical/>
        <horizontal/>
      </border>
    </dxf>
    <dxf>
      <border>
        <left style="thin">
          <color rgb="FF0000FF"/>
        </left>
        <right style="thin">
          <color rgb="FF0000FF"/>
        </right>
        <top style="thin">
          <color rgb="FF0000FF"/>
        </top>
        <bottom style="thin">
          <color rgb="FF0000FF"/>
        </bottom>
        <vertical/>
        <horizontal/>
      </border>
    </dxf>
    <dxf>
      <font>
        <b/>
        <i/>
      </font>
    </dxf>
    <dxf>
      <font>
        <b/>
        <i/>
      </font>
    </dxf>
    <dxf>
      <font>
        <b/>
        <i/>
      </font>
    </dxf>
    <dxf>
      <font>
        <b/>
        <i/>
      </font>
    </dxf>
    <dxf>
      <font>
        <b/>
        <i/>
      </font>
    </dxf>
    <dxf>
      <font>
        <b/>
        <i/>
      </font>
    </dxf>
    <dxf>
      <font>
        <b/>
        <i/>
      </font>
    </dxf>
    <dxf>
      <font>
        <b/>
        <i/>
      </font>
    </dxf>
    <dxf>
      <font>
        <b val="0"/>
        <i val="0"/>
        <color auto="1"/>
      </font>
      <fill>
        <patternFill>
          <bgColor rgb="FFFFCC66"/>
        </patternFill>
      </fill>
    </dxf>
    <dxf>
      <fill>
        <patternFill>
          <bgColor rgb="FFFF9933"/>
        </patternFill>
      </fill>
    </dxf>
    <dxf>
      <fill>
        <patternFill>
          <bgColor rgb="FFFF33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0000FF"/>
      <color rgb="FFFF3300"/>
      <color rgb="FFFFCC99"/>
      <color rgb="FFFF7C80"/>
      <color rgb="FFFFCC66"/>
      <color rgb="FFFF9933"/>
      <color rgb="FFFFFF00"/>
      <color rgb="FFFFFF66"/>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7294F203-7C47-4DC8-A422-6D6656F92180" TargetMode="External"/><Relationship Id="rId1" Type="http://schemas.openxmlformats.org/officeDocument/2006/relationships/image" Target="../media/image1.png"/><Relationship Id="rId4"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29</xdr:row>
      <xdr:rowOff>76200</xdr:rowOff>
    </xdr:from>
    <xdr:to>
      <xdr:col>0</xdr:col>
      <xdr:colOff>1990725</xdr:colOff>
      <xdr:row>31</xdr:row>
      <xdr:rowOff>43327</xdr:rowOff>
    </xdr:to>
    <xdr:pic>
      <xdr:nvPicPr>
        <xdr:cNvPr id="5" name="eeb5c682-7b0a-4069-8696-c31004c6ef33" descr="cid:7294F203-7C47-4DC8-A422-6D6656F92180"/>
        <xdr:cNvPicPr>
          <a:picLocks noChangeAspect="1"/>
        </xdr:cNvPicPr>
      </xdr:nvPicPr>
      <xdr:blipFill>
        <a:blip xmlns:r="http://schemas.openxmlformats.org/officeDocument/2006/relationships" r:embed="rId1" r:link="rId2" cstate="print"/>
        <a:srcRect/>
        <a:stretch>
          <a:fillRect/>
        </a:stretch>
      </xdr:blipFill>
      <xdr:spPr bwMode="auto">
        <a:xfrm>
          <a:off x="57150" y="2667000"/>
          <a:ext cx="1933575" cy="348127"/>
        </a:xfrm>
        <a:prstGeom prst="rect">
          <a:avLst/>
        </a:prstGeom>
        <a:noFill/>
        <a:ln w="9525">
          <a:noFill/>
          <a:miter lim="800000"/>
          <a:headEnd/>
          <a:tailEnd/>
        </a:ln>
      </xdr:spPr>
    </xdr:pic>
    <xdr:clientData/>
  </xdr:twoCellAnchor>
  <xdr:twoCellAnchor editAs="oneCell">
    <xdr:from>
      <xdr:col>0</xdr:col>
      <xdr:colOff>2419350</xdr:colOff>
      <xdr:row>29</xdr:row>
      <xdr:rowOff>19050</xdr:rowOff>
    </xdr:from>
    <xdr:to>
      <xdr:col>0</xdr:col>
      <xdr:colOff>3982085</xdr:colOff>
      <xdr:row>31</xdr:row>
      <xdr:rowOff>127000</xdr:rowOff>
    </xdr:to>
    <xdr:pic>
      <xdr:nvPicPr>
        <xdr:cNvPr id="3" name="Picture 2" descr="cid:image001.png@01CFC10F.404A38F0"/>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2419350" y="2609850"/>
          <a:ext cx="1562735" cy="488950"/>
        </a:xfrm>
        <a:prstGeom prst="rect">
          <a:avLst/>
        </a:prstGeom>
        <a:noFill/>
        <a:ln>
          <a:noFill/>
        </a:ln>
      </xdr:spPr>
    </xdr:pic>
    <xdr:clientData/>
  </xdr:twoCellAnchor>
  <xdr:twoCellAnchor editAs="oneCell">
    <xdr:from>
      <xdr:col>0</xdr:col>
      <xdr:colOff>4229100</xdr:colOff>
      <xdr:row>29</xdr:row>
      <xdr:rowOff>95250</xdr:rowOff>
    </xdr:from>
    <xdr:to>
      <xdr:col>0</xdr:col>
      <xdr:colOff>5842000</xdr:colOff>
      <xdr:row>31</xdr:row>
      <xdr:rowOff>15240</xdr:rowOff>
    </xdr:to>
    <xdr:pic>
      <xdr:nvPicPr>
        <xdr:cNvPr id="4" name="Picture 3" descr="C:\Users\Joe\Documents\A) BE projects\P459 Hazwaste reporting\Incoming info\REC.jpg"/>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rcRect/>
        <a:stretch>
          <a:fillRect/>
        </a:stretch>
      </xdr:blipFill>
      <xdr:spPr bwMode="auto">
        <a:xfrm>
          <a:off x="4229100" y="2686050"/>
          <a:ext cx="1612900" cy="3009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9526</xdr:colOff>
      <xdr:row>5</xdr:row>
      <xdr:rowOff>9525</xdr:rowOff>
    </xdr:from>
    <xdr:to>
      <xdr:col>5</xdr:col>
      <xdr:colOff>560918</xdr:colOff>
      <xdr:row>11</xdr:row>
      <xdr:rowOff>0</xdr:rowOff>
    </xdr:to>
    <xdr:sp macro="" textlink="">
      <xdr:nvSpPr>
        <xdr:cNvPr id="3" name="Text Box 2"/>
        <xdr:cNvSpPr txBox="1">
          <a:spLocks noChangeArrowheads="1"/>
        </xdr:cNvSpPr>
      </xdr:nvSpPr>
      <xdr:spPr bwMode="auto">
        <a:xfrm>
          <a:off x="9526" y="919692"/>
          <a:ext cx="6710892" cy="942975"/>
        </a:xfrm>
        <a:prstGeom prst="rect">
          <a:avLst/>
        </a:prstGeom>
        <a:solidFill>
          <a:srgbClr val="FFFFFF"/>
        </a:solidFill>
        <a:ln>
          <a:noFill/>
        </a:ln>
        <a:extLst/>
      </xdr:spPr>
      <xdr:txBody>
        <a:bodyPr vertOverflow="clip" wrap="square" lIns="27432" tIns="27432" rIns="0" bIns="27432" anchor="ctr" upright="1"/>
        <a:lstStyle/>
        <a:p>
          <a:pPr algn="l" rtl="0">
            <a:defRPr sz="1000"/>
          </a:pPr>
          <a:r>
            <a:rPr lang="en-US" sz="1100" b="1" i="0" u="none" strike="noStrike" baseline="0">
              <a:solidFill>
                <a:srgbClr val="000000"/>
              </a:solidFill>
              <a:latin typeface="Arial"/>
              <a:cs typeface="Arial"/>
            </a:rPr>
            <a:t>Total amounts exported:</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Total amount of hazardous wastes under Art. 1 (1)a (Annex I: Y1 - Y45) exported.....</a:t>
          </a:r>
          <a:r>
            <a:rPr lang="en-US" sz="1000" b="1" i="0" u="none" strike="noStrike" baseline="0">
              <a:solidFill>
                <a:srgbClr val="FF0000"/>
              </a:solidFill>
              <a:latin typeface="Arial"/>
              <a:cs typeface="Arial"/>
            </a:rPr>
            <a:t>64150.2</a:t>
          </a:r>
          <a:r>
            <a:rPr lang="en-US" sz="1000" b="0" i="0" u="none" strike="noStrike" baseline="0">
              <a:solidFill>
                <a:srgbClr val="000000"/>
              </a:solidFill>
              <a:latin typeface="Arial"/>
              <a:cs typeface="Arial"/>
            </a:rPr>
            <a:t>... in metric tons.</a:t>
          </a:r>
        </a:p>
        <a:p>
          <a:pPr algn="l" rtl="0">
            <a:defRPr sz="1000"/>
          </a:pPr>
          <a:r>
            <a:rPr lang="en-US" sz="1000" b="0" i="0" u="none" strike="noStrike" baseline="0">
              <a:solidFill>
                <a:srgbClr val="000000"/>
              </a:solidFill>
              <a:latin typeface="Arial"/>
              <a:cs typeface="Arial"/>
            </a:rPr>
            <a:t>          Total amount of hazardous wastes under Art. 1 (1)b exported..................….…..............</a:t>
          </a:r>
          <a:r>
            <a:rPr lang="en-US" sz="1000" b="1" i="0" u="none" strike="noStrike" baseline="0">
              <a:solidFill>
                <a:srgbClr val="000000"/>
              </a:solidFill>
              <a:latin typeface="Arial"/>
              <a:cs typeface="Arial"/>
            </a:rPr>
            <a:t>0</a:t>
          </a:r>
          <a:r>
            <a:rPr lang="en-US" sz="1000" b="0" i="0" u="none" strike="noStrike" baseline="0">
              <a:solidFill>
                <a:srgbClr val="000000"/>
              </a:solidFill>
              <a:latin typeface="Arial"/>
              <a:cs typeface="Arial"/>
            </a:rPr>
            <a:t>....... in metric tons. </a:t>
          </a:r>
        </a:p>
        <a:p>
          <a:pPr algn="l" rtl="0">
            <a:defRPr sz="1000"/>
          </a:pPr>
          <a:r>
            <a:rPr lang="en-US" sz="1000" b="0" i="0" u="none" strike="noStrike" baseline="0">
              <a:solidFill>
                <a:srgbClr val="000000"/>
              </a:solidFill>
              <a:latin typeface="Arial"/>
              <a:cs typeface="Arial"/>
            </a:rPr>
            <a:t>          Total amount of other wastes exported (Annex II: Y46 - Y47). ........................................</a:t>
          </a:r>
          <a:r>
            <a:rPr lang="en-US" sz="1000" b="1" i="0" u="none" strike="noStrike" baseline="0">
              <a:solidFill>
                <a:srgbClr val="000000"/>
              </a:solidFill>
              <a:latin typeface="Arial"/>
              <a:cs typeface="Arial"/>
            </a:rPr>
            <a:t>0</a:t>
          </a:r>
          <a:r>
            <a:rPr lang="en-US" sz="1000" b="0" i="0" u="none" strike="noStrike" baseline="0">
              <a:solidFill>
                <a:srgbClr val="000000"/>
              </a:solidFill>
              <a:latin typeface="Arial"/>
              <a:cs typeface="Arial"/>
            </a:rPr>
            <a:t>...... in metric tons. </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latin typeface="Arial"/>
              <a:cs typeface="Arial"/>
            </a:rPr>
            <a:t>          Total amount of hazardous wastes and other wastes exported.....................................</a:t>
          </a:r>
          <a:r>
            <a:rPr kumimoji="0" lang="en-US" sz="1000" b="1" i="0" u="none" strike="noStrike" kern="0" cap="none" spc="0" normalizeH="0" baseline="0" noProof="0">
              <a:ln>
                <a:noFill/>
              </a:ln>
              <a:solidFill>
                <a:srgbClr val="FF0000"/>
              </a:solidFill>
              <a:effectLst/>
              <a:uLnTx/>
              <a:uFillTx/>
              <a:latin typeface="Arial"/>
              <a:ea typeface="+mn-ea"/>
              <a:cs typeface="Arial"/>
            </a:rPr>
            <a:t>64150.2</a:t>
          </a:r>
          <a:r>
            <a:rPr kumimoji="0" lang="en-US" sz="1000" b="0" i="0" u="none" strike="noStrike" kern="0" cap="none" spc="0" normalizeH="0" baseline="0" noProof="0">
              <a:ln>
                <a:noFill/>
              </a:ln>
              <a:solidFill>
                <a:srgbClr val="000000"/>
              </a:solidFill>
              <a:effectLst/>
              <a:uLnTx/>
              <a:uFillTx/>
              <a:latin typeface="Arial"/>
              <a:ea typeface="+mn-ea"/>
              <a:cs typeface="Arial"/>
            </a:rPr>
            <a:t>.</a:t>
          </a:r>
          <a:r>
            <a:rPr lang="en-US" sz="1000" b="0" i="0" u="none" strike="noStrike" baseline="0">
              <a:solidFill>
                <a:srgbClr val="000000"/>
              </a:solidFill>
              <a:latin typeface="Arial"/>
              <a:cs typeface="Arial"/>
            </a:rPr>
            <a:t>.. in metric tons.</a:t>
          </a:r>
          <a:endParaRPr lang="en-US"/>
        </a:p>
      </xdr:txBody>
    </xdr:sp>
    <xdr:clientData/>
  </xdr:twoCellAnchor>
  <xdr:twoCellAnchor>
    <xdr:from>
      <xdr:col>0</xdr:col>
      <xdr:colOff>0</xdr:colOff>
      <xdr:row>47</xdr:row>
      <xdr:rowOff>0</xdr:rowOff>
    </xdr:from>
    <xdr:to>
      <xdr:col>5</xdr:col>
      <xdr:colOff>783166</xdr:colOff>
      <xdr:row>52</xdr:row>
      <xdr:rowOff>148166</xdr:rowOff>
    </xdr:to>
    <xdr:sp macro="" textlink="">
      <xdr:nvSpPr>
        <xdr:cNvPr id="4" name="Text Box 2"/>
        <xdr:cNvSpPr txBox="1">
          <a:spLocks noChangeArrowheads="1"/>
        </xdr:cNvSpPr>
      </xdr:nvSpPr>
      <xdr:spPr bwMode="auto">
        <a:xfrm>
          <a:off x="0" y="10117667"/>
          <a:ext cx="6942666" cy="941916"/>
        </a:xfrm>
        <a:prstGeom prst="rect">
          <a:avLst/>
        </a:prstGeom>
        <a:solidFill>
          <a:srgbClr val="FFFFFF"/>
        </a:solidFill>
        <a:ln>
          <a:noFill/>
        </a:ln>
        <a:extLst/>
      </xdr:spPr>
      <xdr:txBody>
        <a:bodyPr vertOverflow="clip" wrap="square" lIns="27432" tIns="22860" rIns="0" bIns="22860" anchor="ctr" upright="1"/>
        <a:lstStyle/>
        <a:p>
          <a:pPr algn="l" rtl="0">
            <a:defRPr sz="1000"/>
          </a:pPr>
          <a:r>
            <a:rPr lang="en-US" sz="1000" b="1" i="0" u="none" strike="noStrike" baseline="0">
              <a:solidFill>
                <a:srgbClr val="000000"/>
              </a:solidFill>
              <a:latin typeface="Arial" panose="020B0604020202020204" pitchFamily="34" charset="0"/>
              <a:cs typeface="Arial" panose="020B0604020202020204" pitchFamily="34" charset="0"/>
            </a:rPr>
            <a:t>Total amounts imported:</a:t>
          </a:r>
          <a:endParaRPr lang="en-US" sz="10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          Total amount of hazardous wastes under Art. 1 1(a) (Annex I: Y1 - Y45) imported......</a:t>
          </a:r>
          <a:r>
            <a:rPr lang="en-US" sz="1000" b="1" i="0" u="none" strike="noStrike" baseline="0">
              <a:solidFill>
                <a:srgbClr val="FF0000"/>
              </a:solidFill>
              <a:latin typeface="Arial" panose="020B0604020202020204" pitchFamily="34" charset="0"/>
              <a:cs typeface="Arial" panose="020B0604020202020204" pitchFamily="34" charset="0"/>
            </a:rPr>
            <a:t>2755.3</a:t>
          </a:r>
          <a:r>
            <a:rPr lang="en-US" sz="1000" b="0" i="0" u="none" strike="noStrike" baseline="0">
              <a:solidFill>
                <a:srgbClr val="000000"/>
              </a:solidFill>
              <a:latin typeface="Arial" panose="020B0604020202020204" pitchFamily="34" charset="0"/>
              <a:cs typeface="Arial" panose="020B0604020202020204" pitchFamily="34" charset="0"/>
            </a:rPr>
            <a:t>..  in metric tons.</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          Total amount of hazardous wastes under Art. 1 1(b) imported..................…...…...............0....  in metric tons. </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          Total amount of other wastes imported (Annex II: Y46 - Y47). ..........................................0.... in metric tons.</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          Total amount of hazardous wastes and other wastes imported.........................................</a:t>
          </a:r>
          <a:r>
            <a:rPr lang="en-US" sz="1000" b="1" i="0" u="none" strike="noStrike" baseline="0">
              <a:solidFill>
                <a:srgbClr val="FF0000"/>
              </a:solidFill>
              <a:latin typeface="Arial" panose="020B0604020202020204" pitchFamily="34" charset="0"/>
              <a:cs typeface="Arial" panose="020B0604020202020204" pitchFamily="34" charset="0"/>
            </a:rPr>
            <a:t>2755.3</a:t>
          </a:r>
          <a:r>
            <a:rPr lang="en-US" sz="1000" b="0" i="0" u="none" strike="noStrike" baseline="0">
              <a:solidFill>
                <a:srgbClr val="000000"/>
              </a:solidFill>
              <a:latin typeface="Arial" panose="020B0604020202020204" pitchFamily="34" charset="0"/>
              <a:cs typeface="Arial" panose="020B0604020202020204" pitchFamily="34" charset="0"/>
            </a:rPr>
            <a:t>.. in metric tons.</a:t>
          </a:r>
          <a:endParaRPr lang="en-US" sz="10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basel.int/Portals/4/Basel%20Convention/docs/text/BaselConventionText-e.pdf" TargetMode="External"/><Relationship Id="rId1" Type="http://schemas.openxmlformats.org/officeDocument/2006/relationships/hyperlink" Target="http://www.comlaw.gov.au/Details/F2012C00858"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T29"/>
  <sheetViews>
    <sheetView tabSelected="1" zoomScale="90" zoomScaleNormal="90" workbookViewId="0">
      <pane ySplit="2" topLeftCell="A9" activePane="bottomLeft" state="frozen"/>
      <selection pane="bottomLeft" activeCell="A33" sqref="A33"/>
    </sheetView>
  </sheetViews>
  <sheetFormatPr defaultRowHeight="15"/>
  <cols>
    <col min="1" max="1" width="167.5703125" style="11" customWidth="1"/>
    <col min="2" max="2" width="141.140625" style="10" customWidth="1"/>
    <col min="3" max="16384" width="9.140625" style="10"/>
  </cols>
  <sheetData>
    <row r="1" spans="1:20" s="13" customFormat="1" ht="21">
      <c r="A1" s="12" t="s">
        <v>862</v>
      </c>
      <c r="D1" s="14"/>
      <c r="E1" s="15"/>
      <c r="F1" s="15"/>
      <c r="G1" s="15"/>
      <c r="H1" s="15"/>
      <c r="I1" s="14"/>
      <c r="J1" s="15"/>
      <c r="S1" s="16"/>
      <c r="T1" s="16"/>
    </row>
    <row r="2" spans="1:20" s="20" customFormat="1" ht="15.75">
      <c r="A2" s="19" t="s">
        <v>1043</v>
      </c>
    </row>
    <row r="3" spans="1:20" s="20" customFormat="1" ht="15.75">
      <c r="A3" s="21"/>
    </row>
    <row r="4" spans="1:20" s="20" customFormat="1" ht="31.5">
      <c r="A4" s="21" t="s">
        <v>863</v>
      </c>
    </row>
    <row r="5" spans="1:20" s="20" customFormat="1" ht="15.75">
      <c r="A5" s="21"/>
    </row>
    <row r="6" spans="1:20" s="20" customFormat="1" ht="31.5">
      <c r="A6" s="21" t="s">
        <v>853</v>
      </c>
    </row>
    <row r="7" spans="1:20" s="20" customFormat="1" ht="15.75">
      <c r="A7" s="21"/>
    </row>
    <row r="8" spans="1:20" s="20" customFormat="1" ht="31.5">
      <c r="A8" s="21" t="s">
        <v>873</v>
      </c>
    </row>
    <row r="9" spans="1:20" s="20" customFormat="1" ht="15.75">
      <c r="A9" s="21"/>
    </row>
    <row r="10" spans="1:20" s="20" customFormat="1" ht="15.75">
      <c r="A10" s="21" t="s">
        <v>875</v>
      </c>
    </row>
    <row r="11" spans="1:20" s="20" customFormat="1" ht="15.75">
      <c r="A11" s="21"/>
    </row>
    <row r="12" spans="1:20" s="20" customFormat="1" ht="15.75">
      <c r="A12" s="22" t="s">
        <v>864</v>
      </c>
    </row>
    <row r="13" spans="1:20" s="20" customFormat="1" ht="15.75">
      <c r="A13" s="23" t="s">
        <v>868</v>
      </c>
    </row>
    <row r="14" spans="1:20" s="20" customFormat="1" ht="15.75">
      <c r="A14" s="24" t="s">
        <v>878</v>
      </c>
    </row>
    <row r="15" spans="1:20" s="20" customFormat="1" ht="15.75">
      <c r="A15" s="24" t="s">
        <v>879</v>
      </c>
    </row>
    <row r="16" spans="1:20" s="20" customFormat="1" ht="15.75">
      <c r="A16" s="25" t="s">
        <v>880</v>
      </c>
    </row>
    <row r="17" spans="1:1" s="20" customFormat="1" ht="15.75">
      <c r="A17" s="25" t="s">
        <v>881</v>
      </c>
    </row>
    <row r="18" spans="1:1" s="20" customFormat="1" ht="15.75">
      <c r="A18" s="26" t="s">
        <v>869</v>
      </c>
    </row>
    <row r="19" spans="1:1" s="20" customFormat="1" ht="15.75">
      <c r="A19" s="24" t="s">
        <v>876</v>
      </c>
    </row>
    <row r="20" spans="1:1" s="20" customFormat="1" ht="35.25" customHeight="1">
      <c r="A20" s="24" t="s">
        <v>882</v>
      </c>
    </row>
    <row r="21" spans="1:1" s="20" customFormat="1" ht="15.75">
      <c r="A21" s="24" t="s">
        <v>877</v>
      </c>
    </row>
    <row r="22" spans="1:1" s="20" customFormat="1" ht="15.75">
      <c r="A22" s="26" t="s">
        <v>870</v>
      </c>
    </row>
    <row r="23" spans="1:1" s="20" customFormat="1" ht="15.75">
      <c r="A23" s="24" t="s">
        <v>883</v>
      </c>
    </row>
    <row r="24" spans="1:1" s="20" customFormat="1" ht="15.75">
      <c r="A24" s="24" t="s">
        <v>884</v>
      </c>
    </row>
    <row r="25" spans="1:1" s="20" customFormat="1" ht="15.75">
      <c r="A25" s="21"/>
    </row>
    <row r="26" spans="1:1" s="20" customFormat="1" ht="15.75">
      <c r="A26" s="27" t="s">
        <v>874</v>
      </c>
    </row>
    <row r="27" spans="1:1" s="20" customFormat="1" ht="15.75">
      <c r="A27" s="28" t="s">
        <v>865</v>
      </c>
    </row>
    <row r="28" spans="1:1" s="20" customFormat="1" ht="15.75">
      <c r="A28" s="28" t="s">
        <v>403</v>
      </c>
    </row>
    <row r="29" spans="1:1" ht="18.75">
      <c r="A29" s="18"/>
    </row>
  </sheetData>
  <sheetProtection sheet="1" objects="1" scenarios="1"/>
  <hyperlinks>
    <hyperlink ref="A27" r:id="rId1" display="NEPM"/>
    <hyperlink ref="A28" r:id="rId2"/>
  </hyperlinks>
  <pageMargins left="0.7" right="0.7" top="0.75" bottom="0.75" header="0.3" footer="0.3"/>
  <pageSetup paperSize="9" orientation="portrait" verticalDpi="0" r:id="rId3"/>
  <drawing r:id="rId4"/>
</worksheet>
</file>

<file path=xl/worksheets/sheet10.xml><?xml version="1.0" encoding="utf-8"?>
<worksheet xmlns="http://schemas.openxmlformats.org/spreadsheetml/2006/main" xmlns:r="http://schemas.openxmlformats.org/officeDocument/2006/relationships">
  <sheetPr>
    <tabColor rgb="FF00B050"/>
  </sheetPr>
  <dimension ref="A1:BT86"/>
  <sheetViews>
    <sheetView zoomScale="60" zoomScaleNormal="60" workbookViewId="0">
      <pane xSplit="5" ySplit="13" topLeftCell="F14" activePane="bottomRight" state="frozen"/>
      <selection pane="topRight" activeCell="F1" sqref="F1"/>
      <selection pane="bottomLeft" activeCell="A14" sqref="A14"/>
      <selection pane="bottomRight" activeCell="F14" sqref="F14"/>
    </sheetView>
  </sheetViews>
  <sheetFormatPr defaultColWidth="9.140625" defaultRowHeight="12.75"/>
  <cols>
    <col min="1" max="1" width="4.7109375" style="69" customWidth="1"/>
    <col min="2" max="2" width="12.85546875" style="69" customWidth="1"/>
    <col min="3" max="3" width="18.140625" style="69" customWidth="1"/>
    <col min="4" max="4" width="9.140625" style="69"/>
    <col min="5" max="5" width="85.5703125" style="69" customWidth="1"/>
    <col min="6" max="6" width="7.42578125" style="69" customWidth="1"/>
    <col min="7" max="7" width="5.42578125" style="69" customWidth="1"/>
    <col min="8" max="8" width="7.42578125" style="69" customWidth="1"/>
    <col min="9" max="9" width="5.42578125" style="69" customWidth="1"/>
    <col min="10" max="10" width="8" style="69" customWidth="1"/>
    <col min="11" max="11" width="5.42578125" style="69" customWidth="1"/>
    <col min="12" max="12" width="8.140625" style="69" customWidth="1"/>
    <col min="13" max="13" width="5.42578125" style="69" customWidth="1"/>
    <col min="14" max="14" width="7.42578125" style="69" customWidth="1"/>
    <col min="15" max="15" width="5.42578125" style="69" customWidth="1"/>
    <col min="16" max="16" width="7.42578125" style="69" customWidth="1"/>
    <col min="17" max="17" width="5.42578125" style="69" customWidth="1"/>
    <col min="18" max="18" width="8.5703125" style="69" customWidth="1"/>
    <col min="19" max="19" width="5.42578125" style="69" customWidth="1"/>
    <col min="20" max="20" width="8.28515625" style="69" customWidth="1"/>
    <col min="21" max="21" width="5.42578125" style="69" customWidth="1"/>
    <col min="22" max="22" width="7.42578125" style="69" customWidth="1"/>
    <col min="23" max="23" width="5.42578125" style="69" customWidth="1"/>
    <col min="24" max="24" width="8" style="69" customWidth="1"/>
    <col min="25" max="25" width="5.42578125" style="69" customWidth="1"/>
    <col min="26" max="26" width="7.42578125" style="69" customWidth="1"/>
    <col min="27" max="27" width="5.42578125" style="69" customWidth="1"/>
    <col min="28" max="28" width="7.42578125" style="69" customWidth="1"/>
    <col min="29" max="29" width="5.42578125" style="69" customWidth="1"/>
    <col min="30" max="30" width="8.140625" style="69" customWidth="1"/>
    <col min="31" max="31" width="5.42578125" style="69" customWidth="1"/>
    <col min="32" max="32" width="8" style="69" customWidth="1"/>
    <col min="33" max="33" width="5.42578125" style="69" customWidth="1"/>
    <col min="34" max="34" width="7.42578125" style="69" customWidth="1"/>
    <col min="35" max="35" width="5.42578125" style="69" customWidth="1"/>
    <col min="36" max="36" width="8.28515625" style="69" customWidth="1"/>
    <col min="37" max="37" width="5.42578125" style="69" customWidth="1"/>
    <col min="38" max="38" width="12.85546875" style="69" customWidth="1"/>
    <col min="39" max="54" width="9.7109375" style="69" customWidth="1"/>
    <col min="55" max="55" width="12.5703125" style="69" customWidth="1"/>
    <col min="56" max="63" width="14" style="69" customWidth="1"/>
    <col min="64" max="64" width="11.42578125" style="69" customWidth="1"/>
    <col min="65" max="72" width="14" style="69" customWidth="1"/>
    <col min="73" max="16384" width="9.140625" style="69"/>
  </cols>
  <sheetData>
    <row r="1" spans="1:72" s="549" customFormat="1" ht="21">
      <c r="A1" s="548" t="s">
        <v>789</v>
      </c>
      <c r="E1" s="550"/>
      <c r="F1" s="551"/>
      <c r="G1" s="551"/>
      <c r="H1" s="551"/>
      <c r="I1" s="551"/>
      <c r="J1" s="551"/>
      <c r="K1" s="551"/>
      <c r="L1" s="551"/>
      <c r="M1" s="551"/>
      <c r="N1" s="551"/>
      <c r="O1" s="551"/>
      <c r="P1" s="551"/>
      <c r="Q1" s="551"/>
      <c r="R1" s="551"/>
      <c r="S1" s="551"/>
      <c r="T1" s="551"/>
      <c r="U1" s="551"/>
      <c r="V1" s="551"/>
      <c r="W1" s="551"/>
      <c r="X1" s="551"/>
      <c r="Y1" s="551"/>
      <c r="Z1" s="551"/>
      <c r="AA1" s="551"/>
      <c r="AB1" s="551"/>
      <c r="AC1" s="551"/>
      <c r="AD1" s="551"/>
      <c r="AE1" s="551"/>
      <c r="AF1" s="551"/>
      <c r="AG1" s="551"/>
      <c r="AH1" s="551"/>
      <c r="AI1" s="551"/>
      <c r="AJ1" s="551"/>
      <c r="AK1" s="551"/>
    </row>
    <row r="2" spans="1:72" s="553" customFormat="1" ht="15">
      <c r="A2" s="552" t="s">
        <v>861</v>
      </c>
      <c r="C2" s="554"/>
      <c r="D2" s="555"/>
      <c r="E2" s="556"/>
      <c r="F2" s="554"/>
      <c r="J2" s="554"/>
      <c r="N2" s="554"/>
      <c r="R2" s="554"/>
      <c r="V2" s="554"/>
      <c r="Z2" s="554"/>
      <c r="AD2" s="554"/>
      <c r="AH2" s="554"/>
    </row>
    <row r="3" spans="1:72" s="553" customFormat="1" ht="21" customHeight="1">
      <c r="A3" s="557"/>
      <c r="B3" s="558"/>
      <c r="C3" s="559"/>
      <c r="D3" s="560" t="s">
        <v>763</v>
      </c>
      <c r="E3" s="561"/>
      <c r="F3" s="562" t="s">
        <v>762</v>
      </c>
      <c r="G3" s="563"/>
      <c r="H3" s="564"/>
      <c r="I3" s="564"/>
      <c r="J3" s="565"/>
      <c r="K3" s="564"/>
      <c r="L3" s="564"/>
      <c r="M3" s="564"/>
      <c r="N3" s="565"/>
      <c r="O3" s="564"/>
      <c r="P3" s="564"/>
      <c r="Q3" s="564"/>
      <c r="R3" s="565"/>
      <c r="S3" s="564"/>
      <c r="T3" s="562" t="s">
        <v>779</v>
      </c>
      <c r="U3" s="564"/>
      <c r="V3" s="565"/>
      <c r="W3" s="564"/>
      <c r="X3" s="564"/>
      <c r="Y3" s="564"/>
      <c r="Z3" s="565"/>
      <c r="AA3" s="564"/>
      <c r="AB3" s="564"/>
      <c r="AC3" s="564"/>
      <c r="AD3" s="565"/>
      <c r="AE3" s="564"/>
      <c r="AF3" s="564"/>
      <c r="AG3" s="564"/>
      <c r="AH3" s="565"/>
      <c r="AI3" s="564"/>
      <c r="AJ3" s="564"/>
      <c r="AK3" s="566"/>
    </row>
    <row r="4" spans="1:72">
      <c r="A4" s="567"/>
      <c r="B4" s="568"/>
      <c r="C4" s="568"/>
      <c r="D4" s="569" t="s">
        <v>769</v>
      </c>
      <c r="E4" s="568"/>
      <c r="F4" s="570" t="s">
        <v>757</v>
      </c>
      <c r="G4" s="571" t="s">
        <v>766</v>
      </c>
      <c r="H4" s="568"/>
      <c r="I4" s="568"/>
      <c r="J4" s="568"/>
      <c r="K4" s="568"/>
      <c r="L4" s="568"/>
      <c r="M4" s="568"/>
      <c r="N4" s="568"/>
      <c r="O4" s="568"/>
      <c r="P4" s="568"/>
      <c r="Q4" s="568"/>
      <c r="R4" s="568"/>
      <c r="S4" s="568"/>
      <c r="T4" s="572"/>
      <c r="U4" s="573" t="s">
        <v>780</v>
      </c>
      <c r="V4" s="568"/>
      <c r="W4" s="568"/>
      <c r="X4" s="568"/>
      <c r="Y4" s="568"/>
      <c r="Z4" s="568"/>
      <c r="AA4" s="568"/>
      <c r="AB4" s="568"/>
      <c r="AC4" s="568"/>
      <c r="AD4" s="568"/>
      <c r="AE4" s="568"/>
      <c r="AF4" s="568"/>
      <c r="AG4" s="568"/>
      <c r="AH4" s="568"/>
      <c r="AI4" s="568"/>
      <c r="AJ4" s="568"/>
      <c r="AK4" s="574"/>
    </row>
    <row r="5" spans="1:72" s="48" customFormat="1">
      <c r="A5" s="575"/>
      <c r="B5" s="576"/>
      <c r="C5" s="577" t="s">
        <v>760</v>
      </c>
      <c r="D5" s="578" t="s">
        <v>871</v>
      </c>
      <c r="E5" s="568"/>
      <c r="F5" s="579" t="s">
        <v>765</v>
      </c>
      <c r="G5" s="573" t="s">
        <v>777</v>
      </c>
      <c r="H5" s="580"/>
      <c r="I5" s="580"/>
      <c r="J5" s="581"/>
      <c r="K5" s="580"/>
      <c r="L5" s="580"/>
      <c r="M5" s="580"/>
      <c r="N5" s="581"/>
      <c r="O5" s="580"/>
      <c r="P5" s="580"/>
      <c r="Q5" s="580"/>
      <c r="R5" s="581"/>
      <c r="S5" s="581"/>
      <c r="T5" s="581"/>
      <c r="U5" s="581"/>
      <c r="V5" s="581"/>
      <c r="W5" s="580"/>
      <c r="X5" s="580"/>
      <c r="Y5" s="580"/>
      <c r="Z5" s="581"/>
      <c r="AA5" s="580"/>
      <c r="AB5" s="580"/>
      <c r="AC5" s="580"/>
      <c r="AD5" s="581"/>
      <c r="AE5" s="580"/>
      <c r="AF5" s="580"/>
      <c r="AG5" s="580"/>
      <c r="AH5" s="581"/>
      <c r="AI5" s="580"/>
      <c r="AJ5" s="580"/>
      <c r="AK5" s="582"/>
    </row>
    <row r="6" spans="1:72" s="48" customFormat="1" ht="12.75" customHeight="1">
      <c r="A6" s="583"/>
      <c r="B6" s="584" t="s">
        <v>447</v>
      </c>
      <c r="C6" s="585"/>
      <c r="D6" s="586" t="s">
        <v>770</v>
      </c>
      <c r="E6" s="580"/>
      <c r="F6" s="587" t="s">
        <v>71</v>
      </c>
      <c r="G6" s="588" t="s">
        <v>778</v>
      </c>
      <c r="H6" s="580"/>
      <c r="I6" s="580"/>
      <c r="J6" s="580"/>
      <c r="K6" s="580"/>
      <c r="L6" s="580"/>
      <c r="M6" s="580"/>
      <c r="N6" s="580"/>
      <c r="O6" s="580"/>
      <c r="P6" s="580"/>
      <c r="Q6" s="580"/>
      <c r="R6" s="580"/>
      <c r="S6" s="580"/>
      <c r="T6" s="589"/>
      <c r="U6" s="146" t="s">
        <v>854</v>
      </c>
      <c r="V6" s="580"/>
      <c r="W6" s="590"/>
      <c r="X6" s="590"/>
      <c r="Y6" s="580"/>
      <c r="Z6" s="580"/>
      <c r="AA6" s="580"/>
      <c r="AB6" s="580"/>
      <c r="AC6" s="580"/>
      <c r="AD6" s="580"/>
      <c r="AE6" s="580"/>
      <c r="AF6" s="580"/>
      <c r="AG6" s="580"/>
      <c r="AH6" s="580"/>
      <c r="AI6" s="580"/>
      <c r="AJ6" s="580"/>
      <c r="AK6" s="582"/>
      <c r="AM6" s="591" t="s">
        <v>761</v>
      </c>
    </row>
    <row r="7" spans="1:72" s="48" customFormat="1" ht="15" customHeight="1">
      <c r="A7" s="592"/>
      <c r="B7" s="593"/>
      <c r="C7" s="594" t="s">
        <v>759</v>
      </c>
      <c r="D7" s="595" t="s">
        <v>872</v>
      </c>
      <c r="E7" s="596"/>
      <c r="F7" s="597" t="s">
        <v>758</v>
      </c>
      <c r="G7" s="598" t="s">
        <v>767</v>
      </c>
      <c r="H7" s="599"/>
      <c r="I7" s="599"/>
      <c r="J7" s="599"/>
      <c r="K7" s="599"/>
      <c r="L7" s="599"/>
      <c r="M7" s="599"/>
      <c r="N7" s="599"/>
      <c r="O7" s="599"/>
      <c r="P7" s="599"/>
      <c r="Q7" s="599"/>
      <c r="R7" s="599"/>
      <c r="S7" s="599"/>
      <c r="T7" s="599"/>
      <c r="U7" s="599"/>
      <c r="V7" s="599"/>
      <c r="W7" s="599"/>
      <c r="X7" s="599"/>
      <c r="Y7" s="599"/>
      <c r="Z7" s="599"/>
      <c r="AA7" s="599"/>
      <c r="AB7" s="599"/>
      <c r="AC7" s="599"/>
      <c r="AD7" s="599"/>
      <c r="AE7" s="599"/>
      <c r="AF7" s="600"/>
      <c r="AG7" s="600"/>
      <c r="AH7" s="600"/>
      <c r="AI7" s="600"/>
      <c r="AJ7" s="600"/>
      <c r="AK7" s="601"/>
      <c r="AM7" s="602">
        <f>'Gap data'!B12</f>
        <v>384942</v>
      </c>
      <c r="AN7" s="602">
        <f>'Gap data'!B13</f>
        <v>386640</v>
      </c>
      <c r="AO7" s="602">
        <f>'Gap data'!C12</f>
        <v>7497771</v>
      </c>
      <c r="AP7" s="602">
        <f>'Gap data'!C13</f>
        <v>7544305</v>
      </c>
      <c r="AQ7" s="602">
        <f>'Gap data'!D12</f>
        <v>243795</v>
      </c>
      <c r="AR7" s="602">
        <f>'Gap data'!D13</f>
        <v>244902</v>
      </c>
      <c r="AS7" s="602">
        <f>'Gap data'!E12</f>
        <v>4706624</v>
      </c>
      <c r="AT7" s="602">
        <f>'Gap data'!E13</f>
        <v>4739097</v>
      </c>
      <c r="AU7" s="602">
        <f>'Gap data'!F12</f>
        <v>1682194</v>
      </c>
      <c r="AV7" s="602">
        <f>'Gap data'!F13</f>
        <v>1688578</v>
      </c>
      <c r="AW7" s="602">
        <f>'Gap data'!G12</f>
        <v>514534</v>
      </c>
      <c r="AX7" s="602">
        <f>'Gap data'!G13</f>
        <v>514984</v>
      </c>
      <c r="AY7" s="602">
        <f>'Gap data'!H12</f>
        <v>5817433</v>
      </c>
      <c r="AZ7" s="602">
        <f>'Gap data'!H13</f>
        <v>5865824</v>
      </c>
      <c r="BA7" s="602">
        <f>'Gap data'!I12</f>
        <v>2556433</v>
      </c>
      <c r="BB7" s="602">
        <f>'Gap data'!I13</f>
        <v>2574009</v>
      </c>
    </row>
    <row r="8" spans="1:72" s="604" customFormat="1" ht="23.25" customHeight="1">
      <c r="A8" s="603"/>
      <c r="B8" s="603"/>
      <c r="C8" s="603"/>
      <c r="D8" s="61" t="s">
        <v>866</v>
      </c>
      <c r="E8" s="603"/>
      <c r="F8" s="1043" t="s">
        <v>426</v>
      </c>
      <c r="G8" s="1044"/>
      <c r="H8" s="1044"/>
      <c r="I8" s="1045"/>
      <c r="J8" s="1046" t="s">
        <v>425</v>
      </c>
      <c r="K8" s="1046"/>
      <c r="L8" s="1046"/>
      <c r="M8" s="1047"/>
      <c r="N8" s="1048" t="s">
        <v>427</v>
      </c>
      <c r="O8" s="1049"/>
      <c r="P8" s="1049"/>
      <c r="Q8" s="1050"/>
      <c r="R8" s="1051" t="s">
        <v>428</v>
      </c>
      <c r="S8" s="1051"/>
      <c r="T8" s="1051"/>
      <c r="U8" s="1051"/>
      <c r="V8" s="1052" t="s">
        <v>429</v>
      </c>
      <c r="W8" s="1053"/>
      <c r="X8" s="1053"/>
      <c r="Y8" s="1054"/>
      <c r="Z8" s="1039" t="s">
        <v>431</v>
      </c>
      <c r="AA8" s="1039"/>
      <c r="AB8" s="1039"/>
      <c r="AC8" s="1039"/>
      <c r="AD8" s="1040" t="s">
        <v>432</v>
      </c>
      <c r="AE8" s="1041"/>
      <c r="AF8" s="1041"/>
      <c r="AG8" s="1042"/>
      <c r="AH8" s="1019" t="s">
        <v>430</v>
      </c>
      <c r="AI8" s="1019"/>
      <c r="AJ8" s="1019"/>
      <c r="AK8" s="1020"/>
      <c r="AL8" s="603"/>
      <c r="AM8" s="1016" t="s">
        <v>426</v>
      </c>
      <c r="AN8" s="1017"/>
      <c r="AO8" s="1018" t="s">
        <v>425</v>
      </c>
      <c r="AP8" s="1018"/>
      <c r="AQ8" s="1021" t="s">
        <v>427</v>
      </c>
      <c r="AR8" s="1022"/>
      <c r="AS8" s="1024" t="s">
        <v>428</v>
      </c>
      <c r="AT8" s="1024"/>
      <c r="AU8" s="1025" t="s">
        <v>429</v>
      </c>
      <c r="AV8" s="1026"/>
      <c r="AW8" s="1027" t="s">
        <v>431</v>
      </c>
      <c r="AX8" s="1027"/>
      <c r="AY8" s="1028" t="s">
        <v>432</v>
      </c>
      <c r="AZ8" s="1029"/>
      <c r="BA8" s="1030" t="s">
        <v>430</v>
      </c>
      <c r="BB8" s="1031"/>
    </row>
    <row r="9" spans="1:72" ht="5.25" customHeight="1">
      <c r="A9" s="107"/>
      <c r="B9" s="605"/>
      <c r="C9" s="605"/>
      <c r="D9" s="605"/>
      <c r="F9" s="606"/>
      <c r="G9" s="107"/>
      <c r="H9" s="107"/>
      <c r="I9" s="607"/>
      <c r="N9" s="606"/>
      <c r="O9" s="107"/>
      <c r="P9" s="107"/>
      <c r="Q9" s="607"/>
      <c r="V9" s="606"/>
      <c r="W9" s="107"/>
      <c r="X9" s="107"/>
      <c r="Y9" s="607"/>
      <c r="AD9" s="606"/>
      <c r="AE9" s="107"/>
      <c r="AF9" s="107"/>
      <c r="AG9" s="607"/>
      <c r="AH9" s="107"/>
      <c r="AI9" s="107"/>
      <c r="AJ9" s="107"/>
      <c r="AK9" s="607"/>
      <c r="AM9" s="606"/>
      <c r="AN9" s="607"/>
      <c r="AO9" s="107"/>
      <c r="AP9" s="107"/>
      <c r="AQ9" s="606"/>
      <c r="AR9" s="607"/>
      <c r="AS9" s="107"/>
      <c r="AT9" s="107"/>
      <c r="AU9" s="606"/>
      <c r="AV9" s="607"/>
      <c r="AW9" s="107"/>
      <c r="AX9" s="107"/>
      <c r="AY9" s="606"/>
      <c r="AZ9" s="607"/>
      <c r="BA9" s="606"/>
      <c r="BB9" s="608"/>
      <c r="BD9" s="609"/>
      <c r="BE9" s="609"/>
      <c r="BF9" s="609"/>
      <c r="BG9" s="609"/>
      <c r="BH9" s="609"/>
      <c r="BI9" s="609"/>
      <c r="BJ9" s="609"/>
      <c r="BK9" s="609"/>
      <c r="BM9" s="609"/>
      <c r="BN9" s="609"/>
      <c r="BO9" s="609"/>
      <c r="BP9" s="609"/>
      <c r="BQ9" s="609"/>
      <c r="BR9" s="609"/>
      <c r="BS9" s="609"/>
      <c r="BT9" s="609"/>
    </row>
    <row r="10" spans="1:72" ht="25.5">
      <c r="B10" s="77" t="s">
        <v>781</v>
      </c>
      <c r="C10" s="76" t="s">
        <v>409</v>
      </c>
      <c r="D10" s="77" t="s">
        <v>782</v>
      </c>
      <c r="E10" s="610" t="s">
        <v>404</v>
      </c>
      <c r="F10" s="1032" t="s">
        <v>668</v>
      </c>
      <c r="G10" s="1023"/>
      <c r="H10" s="1015" t="s">
        <v>669</v>
      </c>
      <c r="I10" s="1015"/>
      <c r="J10" s="1023" t="s">
        <v>668</v>
      </c>
      <c r="K10" s="1023"/>
      <c r="L10" s="1015" t="s">
        <v>669</v>
      </c>
      <c r="M10" s="1023"/>
      <c r="N10" s="1023" t="s">
        <v>668</v>
      </c>
      <c r="O10" s="1023"/>
      <c r="P10" s="1015" t="s">
        <v>669</v>
      </c>
      <c r="Q10" s="1023"/>
      <c r="R10" s="1023" t="s">
        <v>668</v>
      </c>
      <c r="S10" s="1023"/>
      <c r="T10" s="1015" t="s">
        <v>669</v>
      </c>
      <c r="U10" s="1023"/>
      <c r="V10" s="1023" t="s">
        <v>668</v>
      </c>
      <c r="W10" s="1023"/>
      <c r="X10" s="1015" t="s">
        <v>669</v>
      </c>
      <c r="Y10" s="1023"/>
      <c r="Z10" s="1023" t="s">
        <v>668</v>
      </c>
      <c r="AA10" s="1023"/>
      <c r="AB10" s="1015" t="s">
        <v>669</v>
      </c>
      <c r="AC10" s="1023"/>
      <c r="AD10" s="1032" t="s">
        <v>668</v>
      </c>
      <c r="AE10" s="1023"/>
      <c r="AF10" s="1015" t="s">
        <v>669</v>
      </c>
      <c r="AG10" s="1015"/>
      <c r="AH10" s="1023" t="s">
        <v>668</v>
      </c>
      <c r="AI10" s="1023"/>
      <c r="AJ10" s="1015" t="s">
        <v>669</v>
      </c>
      <c r="AK10" s="1015"/>
      <c r="AL10" s="611"/>
      <c r="AM10" s="612" t="s">
        <v>668</v>
      </c>
      <c r="AN10" s="613" t="s">
        <v>669</v>
      </c>
      <c r="AO10" s="551" t="s">
        <v>668</v>
      </c>
      <c r="AP10" s="551" t="s">
        <v>669</v>
      </c>
      <c r="AQ10" s="612" t="s">
        <v>668</v>
      </c>
      <c r="AR10" s="613" t="s">
        <v>669</v>
      </c>
      <c r="AS10" s="612" t="s">
        <v>668</v>
      </c>
      <c r="AT10" s="613" t="s">
        <v>669</v>
      </c>
      <c r="AU10" s="612" t="s">
        <v>668</v>
      </c>
      <c r="AV10" s="613" t="s">
        <v>669</v>
      </c>
      <c r="AW10" s="612" t="s">
        <v>668</v>
      </c>
      <c r="AX10" s="613" t="s">
        <v>669</v>
      </c>
      <c r="AY10" s="612" t="s">
        <v>668</v>
      </c>
      <c r="AZ10" s="613" t="s">
        <v>669</v>
      </c>
      <c r="BA10" s="612" t="s">
        <v>668</v>
      </c>
      <c r="BB10" s="614" t="s">
        <v>669</v>
      </c>
      <c r="BD10" s="615" t="s">
        <v>426</v>
      </c>
      <c r="BE10" s="616" t="s">
        <v>425</v>
      </c>
      <c r="BF10" s="617" t="s">
        <v>427</v>
      </c>
      <c r="BG10" s="618" t="s">
        <v>428</v>
      </c>
      <c r="BH10" s="619" t="s">
        <v>429</v>
      </c>
      <c r="BI10" s="620" t="s">
        <v>431</v>
      </c>
      <c r="BJ10" s="621" t="s">
        <v>432</v>
      </c>
      <c r="BK10" s="622" t="s">
        <v>430</v>
      </c>
      <c r="BM10" s="615" t="s">
        <v>426</v>
      </c>
      <c r="BN10" s="616" t="s">
        <v>425</v>
      </c>
      <c r="BO10" s="617" t="s">
        <v>427</v>
      </c>
      <c r="BP10" s="618" t="s">
        <v>428</v>
      </c>
      <c r="BQ10" s="619" t="s">
        <v>429</v>
      </c>
      <c r="BR10" s="620" t="s">
        <v>431</v>
      </c>
      <c r="BS10" s="621" t="s">
        <v>432</v>
      </c>
      <c r="BT10" s="622" t="s">
        <v>430</v>
      </c>
    </row>
    <row r="11" spans="1:72" ht="5.25" customHeight="1">
      <c r="F11" s="606"/>
      <c r="G11" s="107"/>
      <c r="H11" s="107"/>
      <c r="I11" s="607"/>
      <c r="N11" s="606"/>
      <c r="O11" s="107"/>
      <c r="P11" s="107"/>
      <c r="Q11" s="607"/>
      <c r="V11" s="606"/>
      <c r="W11" s="107"/>
      <c r="X11" s="107"/>
      <c r="Y11" s="607"/>
      <c r="AD11" s="606"/>
      <c r="AE11" s="107"/>
      <c r="AF11" s="107"/>
      <c r="AG11" s="607"/>
      <c r="AH11" s="107"/>
      <c r="AI11" s="107"/>
      <c r="AJ11" s="107"/>
      <c r="AK11" s="607"/>
      <c r="AM11" s="606"/>
      <c r="AN11" s="607"/>
      <c r="AO11" s="107"/>
      <c r="AP11" s="107"/>
      <c r="AQ11" s="606"/>
      <c r="AR11" s="607"/>
      <c r="AS11" s="107"/>
      <c r="AT11" s="107"/>
      <c r="AU11" s="606"/>
      <c r="AV11" s="607"/>
      <c r="AW11" s="107"/>
      <c r="AX11" s="107"/>
      <c r="AY11" s="606"/>
      <c r="AZ11" s="607"/>
      <c r="BA11" s="606"/>
      <c r="BB11" s="608"/>
      <c r="BD11" s="606"/>
      <c r="BE11" s="107"/>
      <c r="BF11" s="107"/>
      <c r="BG11" s="107"/>
      <c r="BH11" s="107"/>
      <c r="BI11" s="107"/>
      <c r="BJ11" s="107"/>
      <c r="BK11" s="608"/>
      <c r="BM11" s="606"/>
      <c r="BN11" s="107"/>
      <c r="BO11" s="107"/>
      <c r="BP11" s="107"/>
      <c r="BQ11" s="107"/>
      <c r="BR11" s="107"/>
      <c r="BS11" s="107"/>
      <c r="BT11" s="607"/>
    </row>
    <row r="12" spans="1:72" s="623" customFormat="1" ht="18.75">
      <c r="B12" s="624" t="s">
        <v>886</v>
      </c>
      <c r="C12" s="625"/>
      <c r="D12" s="625"/>
      <c r="E12" s="625"/>
      <c r="F12" s="626"/>
      <c r="G12" s="627"/>
      <c r="H12" s="627"/>
      <c r="I12" s="628"/>
      <c r="J12" s="625"/>
      <c r="K12" s="625"/>
      <c r="L12" s="625"/>
      <c r="M12" s="625"/>
      <c r="N12" s="626"/>
      <c r="O12" s="627"/>
      <c r="P12" s="627"/>
      <c r="Q12" s="628"/>
      <c r="R12" s="625"/>
      <c r="S12" s="625"/>
      <c r="T12" s="625"/>
      <c r="U12" s="625"/>
      <c r="V12" s="626"/>
      <c r="W12" s="627"/>
      <c r="X12" s="627"/>
      <c r="Y12" s="628"/>
      <c r="Z12" s="625"/>
      <c r="AA12" s="625"/>
      <c r="AB12" s="625"/>
      <c r="AC12" s="625"/>
      <c r="AD12" s="626"/>
      <c r="AE12" s="627"/>
      <c r="AF12" s="627"/>
      <c r="AG12" s="628"/>
      <c r="AH12" s="627"/>
      <c r="AI12" s="627"/>
      <c r="AJ12" s="627"/>
      <c r="AK12" s="628"/>
      <c r="AM12" s="629" t="s">
        <v>798</v>
      </c>
      <c r="AN12" s="630"/>
      <c r="AO12" s="631"/>
      <c r="AP12" s="631"/>
      <c r="AQ12" s="629"/>
      <c r="AR12" s="632"/>
      <c r="AS12" s="631"/>
      <c r="AT12" s="631"/>
      <c r="AU12" s="629"/>
      <c r="AV12" s="632"/>
      <c r="AW12" s="631"/>
      <c r="AX12" s="631"/>
      <c r="AY12" s="629"/>
      <c r="AZ12" s="632"/>
      <c r="BA12" s="629"/>
      <c r="BB12" s="633"/>
      <c r="BC12" s="634"/>
      <c r="BD12" s="629" t="s">
        <v>799</v>
      </c>
      <c r="BE12" s="631"/>
      <c r="BF12" s="631"/>
      <c r="BG12" s="631"/>
      <c r="BH12" s="631"/>
      <c r="BI12" s="631"/>
      <c r="BJ12" s="631"/>
      <c r="BK12" s="633"/>
      <c r="BL12" s="634"/>
      <c r="BM12" s="629" t="s">
        <v>856</v>
      </c>
      <c r="BN12" s="631"/>
      <c r="BO12" s="631"/>
      <c r="BP12" s="631"/>
      <c r="BQ12" s="631"/>
      <c r="BR12" s="631"/>
      <c r="BS12" s="631"/>
      <c r="BT12" s="632"/>
    </row>
    <row r="13" spans="1:72" ht="4.5" customHeight="1">
      <c r="A13" s="635"/>
      <c r="F13" s="636"/>
      <c r="G13" s="609"/>
      <c r="H13" s="609"/>
      <c r="I13" s="637"/>
      <c r="N13" s="636"/>
      <c r="O13" s="609"/>
      <c r="P13" s="609"/>
      <c r="Q13" s="637"/>
      <c r="V13" s="636"/>
      <c r="W13" s="609"/>
      <c r="X13" s="609"/>
      <c r="Y13" s="637"/>
      <c r="AD13" s="636"/>
      <c r="AE13" s="609"/>
      <c r="AF13" s="609"/>
      <c r="AG13" s="637"/>
      <c r="AH13" s="107"/>
      <c r="AI13" s="107"/>
      <c r="AJ13" s="107"/>
      <c r="AK13" s="607"/>
      <c r="AM13" s="636"/>
      <c r="AN13" s="637"/>
      <c r="AO13" s="107"/>
      <c r="AP13" s="107"/>
      <c r="AQ13" s="636"/>
      <c r="AR13" s="637"/>
      <c r="AS13" s="107"/>
      <c r="AT13" s="107"/>
      <c r="AU13" s="636"/>
      <c r="AV13" s="637"/>
      <c r="AW13" s="107"/>
      <c r="AX13" s="107"/>
      <c r="AY13" s="636"/>
      <c r="AZ13" s="637"/>
      <c r="BA13" s="636"/>
      <c r="BB13" s="638"/>
      <c r="BD13" s="606"/>
      <c r="BE13" s="107"/>
      <c r="BF13" s="107"/>
      <c r="BG13" s="107"/>
      <c r="BH13" s="107"/>
      <c r="BI13" s="107"/>
      <c r="BJ13" s="107"/>
      <c r="BK13" s="608"/>
      <c r="BM13" s="606"/>
      <c r="BN13" s="107"/>
      <c r="BO13" s="107"/>
      <c r="BP13" s="107"/>
      <c r="BQ13" s="107"/>
      <c r="BR13" s="107"/>
      <c r="BS13" s="107"/>
      <c r="BT13" s="607"/>
    </row>
    <row r="14" spans="1:72">
      <c r="B14" s="1033" t="s">
        <v>3</v>
      </c>
      <c r="C14" s="1036" t="s">
        <v>137</v>
      </c>
      <c r="D14" s="639" t="s">
        <v>4</v>
      </c>
      <c r="E14" s="640" t="s">
        <v>79</v>
      </c>
      <c r="F14" s="641">
        <f>IF(ISNUMBER(ACT!K8),ACT!K8,"")</f>
        <v>0</v>
      </c>
      <c r="G14" s="529" t="s">
        <v>757</v>
      </c>
      <c r="H14" s="642">
        <f>IF(ISNUMBER(ACT!L8),ACT!L8,"")</f>
        <v>0</v>
      </c>
      <c r="I14" s="530" t="s">
        <v>757</v>
      </c>
      <c r="J14" s="642">
        <f>IF(ISNUMBER(NSW!K8),NSW!K8,"")</f>
        <v>1.28</v>
      </c>
      <c r="K14" s="529" t="s">
        <v>757</v>
      </c>
      <c r="L14" s="642" t="str">
        <f>IF(ISNUMBER(NSW!L8),NSW!L8,"")</f>
        <v/>
      </c>
      <c r="M14" s="530" t="s">
        <v>757</v>
      </c>
      <c r="N14" s="641" t="str">
        <f>IF(ISNUMBER(NT!K8),NT!K8,"")</f>
        <v/>
      </c>
      <c r="O14" s="529" t="s">
        <v>757</v>
      </c>
      <c r="P14" s="642" t="str">
        <f>IF(ISNUMBER(NT!L8),NT!L8,"")</f>
        <v/>
      </c>
      <c r="Q14" s="530" t="s">
        <v>757</v>
      </c>
      <c r="R14" s="641">
        <f>IF(ISNUMBER(Qld!K8),Qld!K8,"")</f>
        <v>2857.58</v>
      </c>
      <c r="S14" s="529" t="s">
        <v>757</v>
      </c>
      <c r="T14" s="642">
        <f>IF(ISNUMBER(Qld!L8),Qld!L8,"")</f>
        <v>3084.0380010000031</v>
      </c>
      <c r="U14" s="530" t="s">
        <v>757</v>
      </c>
      <c r="V14" s="641">
        <f>IF(ISNUMBER(SA!K8),SA!K8,"")</f>
        <v>117.64</v>
      </c>
      <c r="W14" s="529" t="s">
        <v>757</v>
      </c>
      <c r="X14" s="642">
        <f>IF(ISNUMBER(SA!L8),SA!L8,"")</f>
        <v>115.79</v>
      </c>
      <c r="Y14" s="530" t="s">
        <v>757</v>
      </c>
      <c r="Z14" s="641" t="str">
        <f>IF(ISNUMBER(TAS!K8),TAS!K8,"")</f>
        <v/>
      </c>
      <c r="AA14" s="529" t="s">
        <v>757</v>
      </c>
      <c r="AB14" s="642" t="str">
        <f>IF(ISNUMBER(TAS!L8),TAS!L8,"")</f>
        <v/>
      </c>
      <c r="AC14" s="530" t="s">
        <v>757</v>
      </c>
      <c r="AD14" s="641" t="str">
        <f>IF(ISNUMBER(Vic!K8),Vic!K8,"")</f>
        <v/>
      </c>
      <c r="AE14" s="531"/>
      <c r="AF14" s="642" t="str">
        <f>IF(ISNUMBER(Vic!L8),Vic!L8,"")</f>
        <v/>
      </c>
      <c r="AG14" s="531"/>
      <c r="AH14" s="641">
        <f>IF(ISNUMBER(WA!L8),WA!L8,"")</f>
        <v>561.548</v>
      </c>
      <c r="AI14" s="529" t="s">
        <v>757</v>
      </c>
      <c r="AJ14" s="642">
        <f>IF(ISNUMBER(WA!M8),WA!M8,"")</f>
        <v>1373.7139999999999</v>
      </c>
      <c r="AK14" s="530" t="s">
        <v>757</v>
      </c>
      <c r="AL14" s="643"/>
      <c r="AM14" s="644">
        <f>IF(ISNUMBER(ACT!K8),ACT!K8*1000000/AM$7,"")</f>
        <v>0</v>
      </c>
      <c r="AN14" s="645">
        <f>IF(ISNUMBER(ACT!L8),ACT!L8*1000000/AN$7,"")</f>
        <v>0</v>
      </c>
      <c r="AO14" s="646">
        <f>IF(ISNUMBER(NSW!K8),NSW!K8*1000000/AO$7,"")</f>
        <v>0.17071740387909953</v>
      </c>
      <c r="AP14" s="646" t="str">
        <f>IF(ISNUMBER(NSW!L8),NSW!L8*1000000/AP$7,"")</f>
        <v/>
      </c>
      <c r="AQ14" s="644" t="str">
        <f>IF(ISNUMBER(NT!K8),NT!K8*1000000/AQ$7,"")</f>
        <v/>
      </c>
      <c r="AR14" s="645" t="str">
        <f>IF(ISNUMBER(NT!L8),NT!L8*1000000/AR$7,"")</f>
        <v/>
      </c>
      <c r="AS14" s="646">
        <f>IF(ISNUMBER(Qld!K8),Qld!K8*1000000/AS$7,"")</f>
        <v>607.14006472579922</v>
      </c>
      <c r="AT14" s="646">
        <f>IF(ISNUMBER(Qld!L8),Qld!L8*1000000/AT$7,"")</f>
        <v>650.7649033138598</v>
      </c>
      <c r="AU14" s="644">
        <f>IF(ISNUMBER(SA!K8),SA!K8*1000000/AU$7,"")</f>
        <v>69.932481033697655</v>
      </c>
      <c r="AV14" s="645">
        <f>IF(ISNUMBER(SA!L8),SA!L8*1000000/AV$7,"")</f>
        <v>68.572491173046203</v>
      </c>
      <c r="AW14" s="646" t="str">
        <f>IF(ISNUMBER(TAS!K8),TAS!K8*1000000/AW$7,"")</f>
        <v/>
      </c>
      <c r="AX14" s="646" t="str">
        <f>IF(ISNUMBER(TAS!L8),TAS!L8*1000000/AX$7,"")</f>
        <v/>
      </c>
      <c r="AY14" s="644" t="str">
        <f>IF(ISNUMBER(Vic!K8),Vic!K8*1000000/AY$7,"")</f>
        <v/>
      </c>
      <c r="AZ14" s="645" t="str">
        <f>IF(ISNUMBER(Vic!L8),Vic!L8*1000000/AZ$7,"")</f>
        <v/>
      </c>
      <c r="BA14" s="647">
        <f>IF(ISNUMBER(WA!L8),WA!L8*1000000/BA$7,"")</f>
        <v>219.66075387072533</v>
      </c>
      <c r="BB14" s="645">
        <f>IF(ISNUMBER(WA!M8),WA!M8*1000000/BB$7,"")</f>
        <v>533.6865566515113</v>
      </c>
      <c r="BD14" s="644">
        <v>0</v>
      </c>
      <c r="BE14" s="646">
        <v>14.957976776985383</v>
      </c>
      <c r="BF14" s="646">
        <v>0</v>
      </c>
      <c r="BG14" s="646">
        <v>955.37524790875284</v>
      </c>
      <c r="BH14" s="646">
        <v>52.204914141368903</v>
      </c>
      <c r="BI14" s="646" t="s">
        <v>855</v>
      </c>
      <c r="BJ14" s="646" t="s">
        <v>855</v>
      </c>
      <c r="BK14" s="645">
        <v>165.51289260320246</v>
      </c>
      <c r="BM14" s="644">
        <f t="shared" ref="BM14:BM45" si="0">IF(OR(ISNUMBER(AM14),ISNUMBER(AN14)),SUMPRODUCT(AM14:AN14,AM$7:AN$7)/SUM(AM$7:AN$7),"")</f>
        <v>0</v>
      </c>
      <c r="BN14" s="646">
        <f t="shared" ref="BN14:BN45" si="1">IF(OR(ISNUMBER(AO14),ISNUMBER(AP14)),SUMPRODUCT(AO14:AP14,AO$7:AP$7)/SUM(AO$7:AP$7),"")</f>
        <v>8.5094637203003101E-2</v>
      </c>
      <c r="BO14" s="646" t="str">
        <f t="shared" ref="BO14:BO45" si="2">IF(OR(ISNUMBER(AQ14),ISNUMBER(AR14)),SUMPRODUCT(AQ14:AR14,AQ$7:AR$7)/SUM(AQ$7:AR$7),"")</f>
        <v/>
      </c>
      <c r="BP14" s="646">
        <f t="shared" ref="BP14:BP45" si="3">IF(OR(ISNUMBER(AS14),ISNUMBER(AT14)),SUMPRODUCT(AS14:AT14,AS$7:AT$7)/SUM(AS$7:AT$7),"")</f>
        <v>629.02747191029709</v>
      </c>
      <c r="BQ14" s="646">
        <f t="shared" ref="BQ14:BQ45" si="4">IF(OR(ISNUMBER(AU14),ISNUMBER(AV14)),SUMPRODUCT(AU14:AV14,AU$7:AV$7)/SUM(AU$7:AV$7),"")</f>
        <v>69.251198241827097</v>
      </c>
      <c r="BR14" s="646" t="str">
        <f t="shared" ref="BR14:BR45" si="5">IF(OR(ISNUMBER(AW14),ISNUMBER(AX14)),SUMPRODUCT(AW14:AX14,AW$7:AX$7)/SUM(AW$7:AX$7),"")</f>
        <v/>
      </c>
      <c r="BS14" s="646" t="str">
        <f t="shared" ref="BS14:BS45" si="6">IF(OR(ISNUMBER(AY14),ISNUMBER(AZ14)),SUMPRODUCT(AY14:AZ14,AY$7:AZ$7)/SUM(AY$7:AZ$7),"")</f>
        <v/>
      </c>
      <c r="BT14" s="645">
        <f t="shared" ref="BT14:BT45" si="7">IF(OR(ISNUMBER(BA14),ISNUMBER(BB14)),SUMPRODUCT(BA14:BB14,BA$7:BB$7)/SUM(BA$7:BB$7),"")</f>
        <v>377.21155409222052</v>
      </c>
    </row>
    <row r="15" spans="1:72">
      <c r="B15" s="1034"/>
      <c r="C15" s="1038"/>
      <c r="D15" s="648" t="s">
        <v>138</v>
      </c>
      <c r="E15" s="649" t="s">
        <v>139</v>
      </c>
      <c r="F15" s="650">
        <f>IF(ISNUMBER(ACT!K9),ACT!K9,"")</f>
        <v>0</v>
      </c>
      <c r="G15" s="532" t="s">
        <v>757</v>
      </c>
      <c r="H15" s="651">
        <f>IF(ISNUMBER(ACT!L9),ACT!L9,"")</f>
        <v>0</v>
      </c>
      <c r="I15" s="533" t="s">
        <v>757</v>
      </c>
      <c r="J15" s="651" t="str">
        <f>IF(ISNUMBER(NSW!K9),NSW!K9,"")</f>
        <v/>
      </c>
      <c r="K15" s="532" t="s">
        <v>757</v>
      </c>
      <c r="L15" s="651" t="str">
        <f>IF(ISNUMBER(NSW!L9),NSW!L9,"")</f>
        <v/>
      </c>
      <c r="M15" s="534" t="s">
        <v>757</v>
      </c>
      <c r="N15" s="650" t="str">
        <f>IF(ISNUMBER(NT!K9),NT!K9,"")</f>
        <v/>
      </c>
      <c r="O15" s="532" t="s">
        <v>757</v>
      </c>
      <c r="P15" s="651" t="str">
        <f>IF(ISNUMBER(NT!L9),NT!L9,"")</f>
        <v/>
      </c>
      <c r="Q15" s="534" t="s">
        <v>757</v>
      </c>
      <c r="R15" s="650">
        <f>IF(ISNUMBER(Qld!K9),Qld!K9,"")</f>
        <v>42.24</v>
      </c>
      <c r="S15" s="532" t="s">
        <v>757</v>
      </c>
      <c r="T15" s="651">
        <f>IF(ISNUMBER(Qld!L9),Qld!L9,"")</f>
        <v>9.9999999999999995E-7</v>
      </c>
      <c r="U15" s="534" t="s">
        <v>757</v>
      </c>
      <c r="V15" s="650">
        <f>IF(ISNUMBER(SA!K9),SA!K9,"")</f>
        <v>0.5</v>
      </c>
      <c r="W15" s="532" t="s">
        <v>757</v>
      </c>
      <c r="X15" s="651">
        <f>IF(ISNUMBER(SA!L9),SA!L9,"")</f>
        <v>2.16</v>
      </c>
      <c r="Y15" s="534" t="s">
        <v>757</v>
      </c>
      <c r="Z15" s="650" t="str">
        <f>IF(ISNUMBER(TAS!K9),TAS!K9,"")</f>
        <v/>
      </c>
      <c r="AA15" s="532" t="s">
        <v>757</v>
      </c>
      <c r="AB15" s="651" t="str">
        <f>IF(ISNUMBER(TAS!L9),TAS!L9,"")</f>
        <v/>
      </c>
      <c r="AC15" s="534" t="s">
        <v>757</v>
      </c>
      <c r="AD15" s="650" t="str">
        <f>IF(ISNUMBER(Vic!K9),Vic!K9,"")</f>
        <v/>
      </c>
      <c r="AE15" s="531"/>
      <c r="AF15" s="651" t="str">
        <f>IF(ISNUMBER(Vic!L9),Vic!L9,"")</f>
        <v/>
      </c>
      <c r="AG15" s="531"/>
      <c r="AH15" s="650" t="str">
        <f>IF(ISNUMBER(WA!L9),WA!L9,"")</f>
        <v/>
      </c>
      <c r="AI15" s="532" t="s">
        <v>757</v>
      </c>
      <c r="AJ15" s="651">
        <f>IF(ISNUMBER(WA!M9),WA!M9,"")</f>
        <v>3.0019</v>
      </c>
      <c r="AK15" s="534" t="s">
        <v>757</v>
      </c>
      <c r="AL15" s="652"/>
      <c r="AM15" s="647">
        <f>IF(ISNUMBER(ACT!K9),ACT!K9*1000000/AM$7,"")</f>
        <v>0</v>
      </c>
      <c r="AN15" s="653">
        <f>IF(ISNUMBER(ACT!L9),ACT!L9*1000000/AN$7,"")</f>
        <v>0</v>
      </c>
      <c r="AO15" s="654" t="str">
        <f>IF(ISNUMBER(NSW!K9),NSW!K9*1000000/AO$7,"")</f>
        <v/>
      </c>
      <c r="AP15" s="654" t="str">
        <f>IF(ISNUMBER(NSW!L9),NSW!L9*1000000/AP$7,"")</f>
        <v/>
      </c>
      <c r="AQ15" s="647" t="str">
        <f>IF(ISNUMBER(NT!K9),NT!K9*1000000/AQ$7,"")</f>
        <v/>
      </c>
      <c r="AR15" s="653" t="str">
        <f>IF(ISNUMBER(NT!L9),NT!L9*1000000/AR$7,"")</f>
        <v/>
      </c>
      <c r="AS15" s="654">
        <f>IF(ISNUMBER(Qld!K9),Qld!K9*1000000/AS$7,"")</f>
        <v>8.9745856053086026</v>
      </c>
      <c r="AT15" s="654">
        <f>IF(ISNUMBER(Qld!L9),Qld!L9*1000000/AT$7,"")</f>
        <v>2.1101066300183346E-7</v>
      </c>
      <c r="AU15" s="647">
        <f>IF(ISNUMBER(SA!K9),SA!K9*1000000/AU$7,"")</f>
        <v>0.29723087824590982</v>
      </c>
      <c r="AV15" s="653">
        <f>IF(ISNUMBER(SA!L9),SA!L9*1000000/AV$7,"")</f>
        <v>1.2791828390515569</v>
      </c>
      <c r="AW15" s="654" t="str">
        <f>IF(ISNUMBER(TAS!K9),TAS!K9*1000000/AW$7,"")</f>
        <v/>
      </c>
      <c r="AX15" s="654" t="str">
        <f>IF(ISNUMBER(TAS!L9),TAS!L9*1000000/AX$7,"")</f>
        <v/>
      </c>
      <c r="AY15" s="647" t="str">
        <f>IF(ISNUMBER(Vic!K9),Vic!K9*1000000/AY$7,"")</f>
        <v/>
      </c>
      <c r="AZ15" s="653" t="str">
        <f>IF(ISNUMBER(Vic!L9),Vic!L9*1000000/AZ$7,"")</f>
        <v/>
      </c>
      <c r="BA15" s="647" t="str">
        <f>IF(ISNUMBER(WA!L9),WA!L9*1000000/BA$7,"")</f>
        <v/>
      </c>
      <c r="BB15" s="655">
        <f>IF(ISNUMBER(WA!M9),WA!M9*1000000/BB$7,"")</f>
        <v>1.1662352384937271</v>
      </c>
      <c r="BD15" s="647">
        <v>0</v>
      </c>
      <c r="BE15" s="654">
        <v>0</v>
      </c>
      <c r="BF15" s="654">
        <v>0</v>
      </c>
      <c r="BG15" s="654">
        <v>2.7809848237379731</v>
      </c>
      <c r="BH15" s="654">
        <v>9.0682639268342941E-2</v>
      </c>
      <c r="BI15" s="654" t="s">
        <v>855</v>
      </c>
      <c r="BJ15" s="654" t="s">
        <v>855</v>
      </c>
      <c r="BK15" s="653">
        <v>0</v>
      </c>
      <c r="BM15" s="647">
        <f t="shared" si="0"/>
        <v>0</v>
      </c>
      <c r="BN15" s="654" t="str">
        <f t="shared" si="1"/>
        <v/>
      </c>
      <c r="BO15" s="654" t="str">
        <f t="shared" si="2"/>
        <v/>
      </c>
      <c r="BP15" s="654">
        <f t="shared" si="3"/>
        <v>4.4718662556304594</v>
      </c>
      <c r="BQ15" s="654">
        <f t="shared" si="4"/>
        <v>0.78913673188219202</v>
      </c>
      <c r="BR15" s="654" t="str">
        <f t="shared" si="5"/>
        <v/>
      </c>
      <c r="BS15" s="654" t="str">
        <f t="shared" si="6"/>
        <v/>
      </c>
      <c r="BT15" s="653">
        <f t="shared" si="7"/>
        <v>0.58511527856664203</v>
      </c>
    </row>
    <row r="16" spans="1:72">
      <c r="B16" s="1035"/>
      <c r="C16" s="1037"/>
      <c r="D16" s="648" t="s">
        <v>81</v>
      </c>
      <c r="E16" s="649" t="s">
        <v>80</v>
      </c>
      <c r="F16" s="656">
        <f>IF(ISNUMBER(ACT!K10),ACT!K10,"")</f>
        <v>8.5000000000000006E-3</v>
      </c>
      <c r="G16" s="535" t="s">
        <v>757</v>
      </c>
      <c r="H16" s="657">
        <f>IF(ISNUMBER(ACT!L10),ACT!L10,"")</f>
        <v>0</v>
      </c>
      <c r="I16" s="536" t="s">
        <v>757</v>
      </c>
      <c r="J16" s="657">
        <f>IF(ISNUMBER(NSW!K10),NSW!K10,"")</f>
        <v>0.33649999999999997</v>
      </c>
      <c r="K16" s="535" t="s">
        <v>757</v>
      </c>
      <c r="L16" s="657">
        <f>IF(ISNUMBER(NSW!L10),NSW!L10,"")</f>
        <v>1.5375000000000001</v>
      </c>
      <c r="M16" s="536" t="s">
        <v>757</v>
      </c>
      <c r="N16" s="656" t="str">
        <f>IF(ISNUMBER(NT!K10),NT!K10,"")</f>
        <v/>
      </c>
      <c r="O16" s="535" t="s">
        <v>757</v>
      </c>
      <c r="P16" s="657" t="str">
        <f>IF(ISNUMBER(NT!L10),NT!L10,"")</f>
        <v/>
      </c>
      <c r="Q16" s="536" t="s">
        <v>757</v>
      </c>
      <c r="R16" s="656">
        <f>IF(ISNUMBER(Qld!K10),Qld!K10,"")</f>
        <v>25.512999999999998</v>
      </c>
      <c r="S16" s="535" t="s">
        <v>757</v>
      </c>
      <c r="T16" s="657">
        <f>IF(ISNUMBER(Qld!L10),Qld!L10,"")</f>
        <v>43.68000099999999</v>
      </c>
      <c r="U16" s="536" t="s">
        <v>757</v>
      </c>
      <c r="V16" s="656">
        <f>IF(ISNUMBER(SA!K10),SA!K10,"")</f>
        <v>3.01</v>
      </c>
      <c r="W16" s="535" t="s">
        <v>757</v>
      </c>
      <c r="X16" s="657">
        <f>IF(ISNUMBER(SA!L10),SA!L10,"")</f>
        <v>6.01</v>
      </c>
      <c r="Y16" s="536" t="s">
        <v>757</v>
      </c>
      <c r="Z16" s="656" t="str">
        <f>IF(ISNUMBER(TAS!K10),TAS!K10,"")</f>
        <v/>
      </c>
      <c r="AA16" s="535" t="s">
        <v>757</v>
      </c>
      <c r="AB16" s="657" t="str">
        <f>IF(ISNUMBER(TAS!L10),TAS!L10,"")</f>
        <v/>
      </c>
      <c r="AC16" s="536" t="s">
        <v>757</v>
      </c>
      <c r="AD16" s="656">
        <f>IF(ISNUMBER(Vic!K10),Vic!K10,"")</f>
        <v>0.12</v>
      </c>
      <c r="AE16" s="537" t="s">
        <v>757</v>
      </c>
      <c r="AF16" s="657">
        <f>IF(ISNUMBER(Vic!L10),Vic!L10,"")</f>
        <v>7.0000000000000007E-2</v>
      </c>
      <c r="AG16" s="538" t="s">
        <v>757</v>
      </c>
      <c r="AH16" s="656">
        <f>IF(ISNUMBER(WA!L10),WA!L10,"")</f>
        <v>15.877000000000001</v>
      </c>
      <c r="AI16" s="535" t="s">
        <v>757</v>
      </c>
      <c r="AJ16" s="657">
        <f>IF(ISNUMBER(WA!M10),WA!M10,"")</f>
        <v>13.202999999999999</v>
      </c>
      <c r="AK16" s="536" t="s">
        <v>757</v>
      </c>
      <c r="AL16" s="652"/>
      <c r="AM16" s="647">
        <f>IF(ISNUMBER(ACT!K10),ACT!K10*1000000/AM$7,"")</f>
        <v>2.2081248603685748E-2</v>
      </c>
      <c r="AN16" s="653">
        <f>IF(ISNUMBER(ACT!L10),ACT!L10*1000000/AN$7,"")</f>
        <v>0</v>
      </c>
      <c r="AO16" s="654">
        <f>IF(ISNUMBER(NSW!K10),NSW!K10*1000000/AO$7,"")</f>
        <v>4.4880005004153893E-2</v>
      </c>
      <c r="AP16" s="654">
        <f>IF(ISNUMBER(NSW!L10),NSW!L10*1000000/AP$7,"")</f>
        <v>0.20379610845531829</v>
      </c>
      <c r="AQ16" s="647" t="str">
        <f>IF(ISNUMBER(NT!K10),NT!K10*1000000/AQ$7,"")</f>
        <v/>
      </c>
      <c r="AR16" s="653" t="str">
        <f>IF(ISNUMBER(NT!L10),NT!L10*1000000/AR$7,"")</f>
        <v/>
      </c>
      <c r="AS16" s="654">
        <f>IF(ISNUMBER(Qld!K10),Qld!K10*1000000/AS$7,"")</f>
        <v>5.4206582042670064</v>
      </c>
      <c r="AT16" s="654">
        <f>IF(ISNUMBER(Qld!L10),Qld!L10*1000000/AT$7,"")</f>
        <v>9.2169459709307482</v>
      </c>
      <c r="AU16" s="647">
        <f>IF(ISNUMBER(SA!K10),SA!K10*1000000/AU$7,"")</f>
        <v>1.7893298870403771</v>
      </c>
      <c r="AV16" s="653">
        <f>IF(ISNUMBER(SA!L10),SA!L10*1000000/AV$7,"")</f>
        <v>3.5592078068054898</v>
      </c>
      <c r="AW16" s="654" t="str">
        <f>IF(ISNUMBER(TAS!K10),TAS!K10*1000000/AW$7,"")</f>
        <v/>
      </c>
      <c r="AX16" s="654" t="str">
        <f>IF(ISNUMBER(TAS!L10),TAS!L10*1000000/AX$7,"")</f>
        <v/>
      </c>
      <c r="AY16" s="647">
        <f>IF(ISNUMBER(Vic!K10),Vic!K10*1000000/AY$7,"")</f>
        <v>2.0627654843639799E-2</v>
      </c>
      <c r="AZ16" s="653">
        <f>IF(ISNUMBER(Vic!L10),Vic!L10*1000000/AZ$7,"")</f>
        <v>1.1933532270998925E-2</v>
      </c>
      <c r="BA16" s="647">
        <f>IF(ISNUMBER(WA!L10),WA!L10*1000000/BA$7,"")</f>
        <v>6.2106067321146297</v>
      </c>
      <c r="BB16" s="655">
        <f>IF(ISNUMBER(WA!M10),WA!M10*1000000/BB$7,"")</f>
        <v>5.129352694570998</v>
      </c>
      <c r="BD16" s="647">
        <v>0</v>
      </c>
      <c r="BE16" s="654">
        <v>0.13797412899625744</v>
      </c>
      <c r="BF16" s="654">
        <v>0</v>
      </c>
      <c r="BG16" s="654">
        <v>3.2088286427745842</v>
      </c>
      <c r="BH16" s="654">
        <v>7.9782389948374348</v>
      </c>
      <c r="BI16" s="654" t="s">
        <v>855</v>
      </c>
      <c r="BJ16" s="654">
        <v>4.5607887879290683</v>
      </c>
      <c r="BK16" s="653">
        <v>20.73296601754717</v>
      </c>
      <c r="BM16" s="647">
        <f t="shared" si="0"/>
        <v>1.1016327493383724E-2</v>
      </c>
      <c r="BN16" s="654">
        <f t="shared" si="1"/>
        <v>0.12458386728002172</v>
      </c>
      <c r="BO16" s="654" t="str">
        <f t="shared" si="2"/>
        <v/>
      </c>
      <c r="BP16" s="654">
        <f t="shared" si="3"/>
        <v>7.3253276271869545</v>
      </c>
      <c r="BQ16" s="654">
        <f t="shared" si="4"/>
        <v>2.6759448577358538</v>
      </c>
      <c r="BR16" s="654" t="str">
        <f t="shared" si="5"/>
        <v/>
      </c>
      <c r="BS16" s="654">
        <f t="shared" si="6"/>
        <v>1.6262588420335185E-2</v>
      </c>
      <c r="BT16" s="653">
        <f t="shared" si="7"/>
        <v>5.6681276194136876</v>
      </c>
    </row>
    <row r="17" spans="2:72">
      <c r="B17" s="658" t="s">
        <v>5</v>
      </c>
      <c r="C17" s="659" t="s">
        <v>6</v>
      </c>
      <c r="D17" s="660" t="s">
        <v>7</v>
      </c>
      <c r="E17" s="661" t="s">
        <v>82</v>
      </c>
      <c r="F17" s="657">
        <f>IF(ISNUMBER(ACT!K11),ACT!K11,"")</f>
        <v>0</v>
      </c>
      <c r="G17" s="535" t="s">
        <v>757</v>
      </c>
      <c r="H17" s="657">
        <f>IF(ISNUMBER(ACT!L11),ACT!L11,"")</f>
        <v>0</v>
      </c>
      <c r="I17" s="536" t="s">
        <v>757</v>
      </c>
      <c r="J17" s="651">
        <f>IF(ISNUMBER(NSW!K11),NSW!K11,"")</f>
        <v>13073.260539999992</v>
      </c>
      <c r="K17" s="535" t="s">
        <v>757</v>
      </c>
      <c r="L17" s="651">
        <f>IF(ISNUMBER(NSW!L11),NSW!L11,"")</f>
        <v>10242.830799999994</v>
      </c>
      <c r="M17" s="536" t="s">
        <v>757</v>
      </c>
      <c r="N17" s="650">
        <f>IF(ISNUMBER(NT!K11),NT!K11,"")</f>
        <v>50</v>
      </c>
      <c r="O17" s="535" t="s">
        <v>757</v>
      </c>
      <c r="P17" s="651">
        <f>IF(ISNUMBER(NT!L11),NT!L11,"")</f>
        <v>1E-3</v>
      </c>
      <c r="Q17" s="536" t="s">
        <v>757</v>
      </c>
      <c r="R17" s="650">
        <f>IF(ISNUMBER(Qld!K11),Qld!K11,"")</f>
        <v>6732.6140000000014</v>
      </c>
      <c r="S17" s="535" t="s">
        <v>757</v>
      </c>
      <c r="T17" s="651">
        <f>IF(ISNUMBER(Qld!L11),Qld!L11,"")</f>
        <v>7247.6330010000065</v>
      </c>
      <c r="U17" s="536" t="s">
        <v>757</v>
      </c>
      <c r="V17" s="650">
        <f>IF(ISNUMBER(SA!K11),SA!K11,"")</f>
        <v>282.23</v>
      </c>
      <c r="W17" s="535" t="s">
        <v>757</v>
      </c>
      <c r="X17" s="651">
        <f>IF(ISNUMBER(SA!L11),SA!L11,"")</f>
        <v>518.36</v>
      </c>
      <c r="Y17" s="536" t="s">
        <v>757</v>
      </c>
      <c r="Z17" s="650" t="str">
        <f>IF(ISNUMBER(TAS!K11),TAS!K11,"")</f>
        <v/>
      </c>
      <c r="AA17" s="535" t="s">
        <v>757</v>
      </c>
      <c r="AB17" s="651">
        <f>IF(ISNUMBER(TAS!L11),TAS!L11,"")</f>
        <v>0.6</v>
      </c>
      <c r="AC17" s="536" t="s">
        <v>757</v>
      </c>
      <c r="AD17" s="650">
        <f>IF(ISNUMBER(Vic!K11),Vic!K11,"")</f>
        <v>6761.0579999999945</v>
      </c>
      <c r="AE17" s="537" t="s">
        <v>757</v>
      </c>
      <c r="AF17" s="651">
        <f>IF(ISNUMBER(Vic!L11),Vic!L11,"")</f>
        <v>11694.930999999999</v>
      </c>
      <c r="AG17" s="538" t="s">
        <v>757</v>
      </c>
      <c r="AH17" s="662">
        <f>IF(ISNUMBER(WA!L11),WA!L11,"")</f>
        <v>1095.4299999999998</v>
      </c>
      <c r="AI17" s="535" t="s">
        <v>757</v>
      </c>
      <c r="AJ17" s="651">
        <f>IF(ISNUMBER(WA!M11),WA!M11,"")</f>
        <v>574.22340000000008</v>
      </c>
      <c r="AK17" s="536" t="s">
        <v>757</v>
      </c>
      <c r="AL17" s="652"/>
      <c r="AM17" s="663">
        <f>IF(ISNUMBER(ACT!K11),ACT!K11*1000000/AM$7,"")</f>
        <v>0</v>
      </c>
      <c r="AN17" s="664">
        <f>IF(ISNUMBER(ACT!L11),ACT!L11*1000000/AN$7,"")</f>
        <v>0</v>
      </c>
      <c r="AO17" s="665">
        <f>IF(ISNUMBER(NSW!K11),NSW!K11*1000000/AO$7,"")</f>
        <v>1743.6196090811513</v>
      </c>
      <c r="AP17" s="665">
        <f>IF(ISNUMBER(NSW!L11),NSW!L11*1000000/AP$7,"")</f>
        <v>1357.6904433211535</v>
      </c>
      <c r="AQ17" s="663">
        <f>IF(ISNUMBER(NT!K11),NT!K11*1000000/AQ$7,"")</f>
        <v>205.09034229578128</v>
      </c>
      <c r="AR17" s="664">
        <f>IF(ISNUMBER(NT!L11),NT!L11*1000000/AR$7,"")</f>
        <v>4.0832659594450026E-3</v>
      </c>
      <c r="AS17" s="665">
        <f>IF(ISNUMBER(Qld!K11),Qld!K11*1000000/AS$7,"")</f>
        <v>1430.4550352864392</v>
      </c>
      <c r="AT17" s="665">
        <f>IF(ISNUMBER(Qld!L11),Qld!L11*1000000/AT$7,"")</f>
        <v>1529.3278447349794</v>
      </c>
      <c r="AU17" s="663">
        <f>IF(ISNUMBER(SA!K11),SA!K11*1000000/AU$7,"")</f>
        <v>167.77494153468623</v>
      </c>
      <c r="AV17" s="664">
        <f>IF(ISNUMBER(SA!L11),SA!L11*1000000/AV$7,"")</f>
        <v>306.98019280128011</v>
      </c>
      <c r="AW17" s="665" t="str">
        <f>IF(ISNUMBER(TAS!K11),TAS!K11*1000000/AW$7,"")</f>
        <v/>
      </c>
      <c r="AX17" s="665">
        <f>IF(ISNUMBER(TAS!L11),TAS!L11*1000000/AX$7,"")</f>
        <v>1.1650847404967921</v>
      </c>
      <c r="AY17" s="663">
        <f>IF(ISNUMBER(Vic!K11),Vic!K11*1000000/AY$7,"")</f>
        <v>1162.2064233485792</v>
      </c>
      <c r="AZ17" s="664">
        <f>IF(ISNUMBER(Vic!L11),Vic!L11*1000000/AZ$7,"")</f>
        <v>1993.7405213657958</v>
      </c>
      <c r="BA17" s="663">
        <f>IF(ISNUMBER(WA!L11),WA!L11*1000000/BA$7,"")</f>
        <v>428.49939740255263</v>
      </c>
      <c r="BB17" s="664">
        <f>IF(ISNUMBER(WA!M11),WA!M11*1000000/BB$7,"")</f>
        <v>223.08523396771344</v>
      </c>
      <c r="BD17" s="663">
        <v>0.96097490255694118</v>
      </c>
      <c r="BE17" s="665">
        <v>1958.3456695037546</v>
      </c>
      <c r="BF17" s="665">
        <v>134.46613217838114</v>
      </c>
      <c r="BG17" s="665">
        <v>3014.5875489319628</v>
      </c>
      <c r="BH17" s="665">
        <v>428.98561110265115</v>
      </c>
      <c r="BI17" s="665">
        <v>61.40631086871835</v>
      </c>
      <c r="BJ17" s="665">
        <v>1248.4781350846956</v>
      </c>
      <c r="BK17" s="664">
        <v>1545.954054478716</v>
      </c>
      <c r="BM17" s="663">
        <f t="shared" si="0"/>
        <v>0</v>
      </c>
      <c r="BN17" s="665">
        <f t="shared" si="1"/>
        <v>1550.0580731010789</v>
      </c>
      <c r="BO17" s="665">
        <f t="shared" si="2"/>
        <v>102.31493133782283</v>
      </c>
      <c r="BP17" s="665">
        <f t="shared" si="3"/>
        <v>1480.06139510155</v>
      </c>
      <c r="BQ17" s="665">
        <f t="shared" si="4"/>
        <v>237.50938954043761</v>
      </c>
      <c r="BR17" s="665">
        <f t="shared" si="5"/>
        <v>0.58279699820692787</v>
      </c>
      <c r="BS17" s="665">
        <f t="shared" si="6"/>
        <v>1579.6955420907022</v>
      </c>
      <c r="BT17" s="664">
        <f t="shared" si="7"/>
        <v>325.44045912613376</v>
      </c>
    </row>
    <row r="18" spans="2:72">
      <c r="B18" s="658" t="s">
        <v>8</v>
      </c>
      <c r="C18" s="666" t="s">
        <v>140</v>
      </c>
      <c r="D18" s="648" t="s">
        <v>9</v>
      </c>
      <c r="E18" s="649" t="s">
        <v>83</v>
      </c>
      <c r="F18" s="651">
        <f>IF(ISNUMBER(ACT!K12),ACT!K12,"")</f>
        <v>449.6</v>
      </c>
      <c r="G18" s="532" t="s">
        <v>757</v>
      </c>
      <c r="H18" s="651">
        <f>IF(ISNUMBER(ACT!L12),ACT!L12,"")</f>
        <v>230.9</v>
      </c>
      <c r="I18" s="534" t="s">
        <v>757</v>
      </c>
      <c r="J18" s="642">
        <f>IF(ISNUMBER(NSW!K12),NSW!K12,"")</f>
        <v>2927.211499999999</v>
      </c>
      <c r="K18" s="532" t="s">
        <v>757</v>
      </c>
      <c r="L18" s="642">
        <f>IF(ISNUMBER(NSW!L12),NSW!L12,"")</f>
        <v>2032.4375000000005</v>
      </c>
      <c r="M18" s="534" t="s">
        <v>757</v>
      </c>
      <c r="N18" s="641">
        <f>IF(ISNUMBER(NT!K12),NT!K12,"")</f>
        <v>19.439</v>
      </c>
      <c r="O18" s="532" t="s">
        <v>757</v>
      </c>
      <c r="P18" s="642">
        <f>IF(ISNUMBER(NT!L12),NT!L12,"")</f>
        <v>104</v>
      </c>
      <c r="Q18" s="534" t="s">
        <v>757</v>
      </c>
      <c r="R18" s="641">
        <f>IF(ISNUMBER(Qld!K12),Qld!K12,"")</f>
        <v>133301.06799999994</v>
      </c>
      <c r="S18" s="532" t="s">
        <v>757</v>
      </c>
      <c r="T18" s="642">
        <f>IF(ISNUMBER(Qld!L12),Qld!L12,"")</f>
        <v>79777.451000999557</v>
      </c>
      <c r="U18" s="534" t="s">
        <v>757</v>
      </c>
      <c r="V18" s="641">
        <f>IF(ISNUMBER(SA!K12),SA!K12,"")</f>
        <v>8503.2610000000004</v>
      </c>
      <c r="W18" s="532" t="s">
        <v>757</v>
      </c>
      <c r="X18" s="642">
        <f>IF(ISNUMBER(SA!L12),SA!L12,"")</f>
        <v>9745.0400000000009</v>
      </c>
      <c r="Y18" s="534" t="s">
        <v>757</v>
      </c>
      <c r="Z18" s="641" t="str">
        <f>IF(ISNUMBER(TAS!K12),TAS!K12,"")</f>
        <v/>
      </c>
      <c r="AA18" s="532" t="s">
        <v>757</v>
      </c>
      <c r="AB18" s="642">
        <f>IF(ISNUMBER(TAS!L12),TAS!L12,"")</f>
        <v>1.6</v>
      </c>
      <c r="AC18" s="534" t="s">
        <v>757</v>
      </c>
      <c r="AD18" s="641">
        <f>IF(ISNUMBER(Vic!K12),Vic!K12,"")</f>
        <v>4139.3720000000012</v>
      </c>
      <c r="AE18" s="539" t="s">
        <v>757</v>
      </c>
      <c r="AF18" s="642">
        <f>IF(ISNUMBER(Vic!L12),Vic!L12,"")</f>
        <v>3707.9180000000015</v>
      </c>
      <c r="AG18" s="540" t="s">
        <v>757</v>
      </c>
      <c r="AH18" s="650">
        <f>IF(ISNUMBER(WA!L12),WA!L12,"")</f>
        <v>45424.819499999998</v>
      </c>
      <c r="AI18" s="532" t="s">
        <v>757</v>
      </c>
      <c r="AJ18" s="642">
        <f>IF(ISNUMBER(WA!M12),WA!M12,"")</f>
        <v>42654.412199999999</v>
      </c>
      <c r="AK18" s="534" t="s">
        <v>757</v>
      </c>
      <c r="AL18" s="652"/>
      <c r="AM18" s="647">
        <f>IF(ISNUMBER(ACT!K12),ACT!K12*1000000/AM$7,"")</f>
        <v>1167.9681614373073</v>
      </c>
      <c r="AN18" s="653">
        <f>IF(ISNUMBER(ACT!L12),ACT!L12*1000000/AN$7,"")</f>
        <v>597.19635836954274</v>
      </c>
      <c r="AO18" s="654">
        <f>IF(ISNUMBER(NSW!K12),NSW!K12*1000000/AO$7,"")</f>
        <v>390.41089678519108</v>
      </c>
      <c r="AP18" s="654">
        <f>IF(ISNUMBER(NSW!L12),NSW!L12*1000000/AP$7,"")</f>
        <v>269.400229709695</v>
      </c>
      <c r="AQ18" s="647">
        <f>IF(ISNUMBER(NT!K12),NT!K12*1000000/AQ$7,"")</f>
        <v>79.735023277753854</v>
      </c>
      <c r="AR18" s="653">
        <f>IF(ISNUMBER(NT!L12),NT!L12*1000000/AR$7,"")</f>
        <v>424.65965978228024</v>
      </c>
      <c r="AS18" s="654">
        <f>IF(ISNUMBER(Qld!K12),Qld!K12*1000000/AS$7,"")</f>
        <v>28322.01340068804</v>
      </c>
      <c r="AT18" s="654">
        <f>IF(ISNUMBER(Qld!L12),Qld!L12*1000000/AT$7,"")</f>
        <v>16833.892828317199</v>
      </c>
      <c r="AU18" s="647">
        <f>IF(ISNUMBER(SA!K12),SA!K12*1000000/AU$7,"")</f>
        <v>5054.8634699683862</v>
      </c>
      <c r="AV18" s="653">
        <f>IF(ISNUMBER(SA!L12),SA!L12*1000000/AV$7,"")</f>
        <v>5771.1518212365672</v>
      </c>
      <c r="AW18" s="654" t="str">
        <f>IF(ISNUMBER(TAS!K12),TAS!K12*1000000/AW$7,"")</f>
        <v/>
      </c>
      <c r="AX18" s="654">
        <f>IF(ISNUMBER(TAS!L12),TAS!L12*1000000/AX$7,"")</f>
        <v>3.1068926413247788</v>
      </c>
      <c r="AY18" s="647">
        <f>IF(ISNUMBER(Vic!K12),Vic!K12*1000000/AY$7,"")</f>
        <v>711.54614071189155</v>
      </c>
      <c r="AZ18" s="653">
        <f>IF(ISNUMBER(Vic!L12),Vic!L12*1000000/AZ$7,"")</f>
        <v>632.12227301739733</v>
      </c>
      <c r="BA18" s="647">
        <f>IF(ISNUMBER(WA!L12),WA!L12*1000000/BA$7,"")</f>
        <v>17768.828480934175</v>
      </c>
      <c r="BB18" s="655">
        <f>IF(ISNUMBER(WA!M12),WA!M12*1000000/BB$7,"")</f>
        <v>16571.19776970477</v>
      </c>
      <c r="BD18" s="647">
        <v>1178.7418969130813</v>
      </c>
      <c r="BE18" s="654">
        <v>561.40687890109234</v>
      </c>
      <c r="BF18" s="654">
        <v>1250.8408583196588</v>
      </c>
      <c r="BG18" s="654">
        <v>47830.585827288436</v>
      </c>
      <c r="BH18" s="654">
        <v>16526.289073813638</v>
      </c>
      <c r="BI18" s="654">
        <v>1.168679392286716</v>
      </c>
      <c r="BJ18" s="654">
        <v>1131.1682372118335</v>
      </c>
      <c r="BK18" s="653">
        <v>35047.540599222411</v>
      </c>
      <c r="BM18" s="647">
        <f t="shared" si="0"/>
        <v>881.95421873501459</v>
      </c>
      <c r="BN18" s="654">
        <f t="shared" si="1"/>
        <v>329.71838461659149</v>
      </c>
      <c r="BO18" s="654">
        <f t="shared" si="2"/>
        <v>252.58800442810167</v>
      </c>
      <c r="BP18" s="654">
        <f t="shared" si="3"/>
        <v>22558.205879784033</v>
      </c>
      <c r="BQ18" s="654">
        <f t="shared" si="4"/>
        <v>5413.685944940803</v>
      </c>
      <c r="BR18" s="654">
        <f t="shared" si="5"/>
        <v>1.5541253285518077</v>
      </c>
      <c r="BS18" s="654">
        <f t="shared" si="6"/>
        <v>671.66972360532714</v>
      </c>
      <c r="BT18" s="653">
        <f t="shared" si="7"/>
        <v>17167.961688291183</v>
      </c>
    </row>
    <row r="19" spans="2:72">
      <c r="B19" s="1033" t="s">
        <v>10</v>
      </c>
      <c r="C19" s="1036" t="s">
        <v>11</v>
      </c>
      <c r="D19" s="639" t="s">
        <v>12</v>
      </c>
      <c r="E19" s="640" t="s">
        <v>84</v>
      </c>
      <c r="F19" s="641">
        <f>IF(ISNUMBER(ACT!K13),ACT!K13,"")</f>
        <v>0</v>
      </c>
      <c r="G19" s="529" t="s">
        <v>757</v>
      </c>
      <c r="H19" s="642">
        <f>IF(ISNUMBER(ACT!L13),ACT!L13,"")</f>
        <v>0</v>
      </c>
      <c r="I19" s="530" t="s">
        <v>757</v>
      </c>
      <c r="J19" s="642" t="str">
        <f>IF(ISNUMBER(NSW!K13),NSW!K13,"")</f>
        <v/>
      </c>
      <c r="K19" s="529" t="s">
        <v>757</v>
      </c>
      <c r="L19" s="642" t="str">
        <f>IF(ISNUMBER(NSW!L13),NSW!L13,"")</f>
        <v/>
      </c>
      <c r="M19" s="530" t="s">
        <v>757</v>
      </c>
      <c r="N19" s="641" t="str">
        <f>IF(ISNUMBER(NT!K13),NT!K13,"")</f>
        <v/>
      </c>
      <c r="O19" s="529" t="s">
        <v>757</v>
      </c>
      <c r="P19" s="642" t="str">
        <f>IF(ISNUMBER(NT!L13),NT!L13,"")</f>
        <v/>
      </c>
      <c r="Q19" s="530" t="s">
        <v>757</v>
      </c>
      <c r="R19" s="641">
        <f>IF(ISNUMBER(Qld!K13),Qld!K13,"")</f>
        <v>64.837999999999994</v>
      </c>
      <c r="S19" s="529" t="s">
        <v>757</v>
      </c>
      <c r="T19" s="642">
        <f>IF(ISNUMBER(Qld!L13),Qld!L13,"")</f>
        <v>50.601001000000004</v>
      </c>
      <c r="U19" s="530" t="s">
        <v>757</v>
      </c>
      <c r="V19" s="641">
        <f>IF(ISNUMBER(SA!K13),SA!K13,"")</f>
        <v>5.38</v>
      </c>
      <c r="W19" s="529" t="s">
        <v>757</v>
      </c>
      <c r="X19" s="642">
        <f>IF(ISNUMBER(SA!L13),SA!L13,"")</f>
        <v>0.01</v>
      </c>
      <c r="Y19" s="530" t="s">
        <v>757</v>
      </c>
      <c r="Z19" s="641" t="str">
        <f>IF(ISNUMBER(TAS!K13),TAS!K13,"")</f>
        <v/>
      </c>
      <c r="AA19" s="529" t="s">
        <v>757</v>
      </c>
      <c r="AB19" s="642" t="str">
        <f>IF(ISNUMBER(TAS!L13),TAS!L13,"")</f>
        <v/>
      </c>
      <c r="AC19" s="530" t="s">
        <v>757</v>
      </c>
      <c r="AD19" s="641">
        <f>IF(ISNUMBER(Vic!K13),Vic!K13,"")</f>
        <v>0</v>
      </c>
      <c r="AE19" s="541" t="s">
        <v>757</v>
      </c>
      <c r="AF19" s="642">
        <f>IF(ISNUMBER(Vic!L13),Vic!L13,"")</f>
        <v>13.79</v>
      </c>
      <c r="AG19" s="542" t="s">
        <v>757</v>
      </c>
      <c r="AH19" s="641">
        <f>IF(ISNUMBER(WA!L13),WA!L13,"")</f>
        <v>5.01</v>
      </c>
      <c r="AI19" s="529" t="s">
        <v>757</v>
      </c>
      <c r="AJ19" s="642">
        <f>IF(ISNUMBER(WA!M13),WA!M13,"")</f>
        <v>9.4E-2</v>
      </c>
      <c r="AK19" s="530" t="s">
        <v>757</v>
      </c>
      <c r="AL19" s="652"/>
      <c r="AM19" s="644">
        <f>IF(ISNUMBER(ACT!K13),ACT!K13*1000000/AM$7,"")</f>
        <v>0</v>
      </c>
      <c r="AN19" s="645">
        <f>IF(ISNUMBER(ACT!L13),ACT!L13*1000000/AN$7,"")</f>
        <v>0</v>
      </c>
      <c r="AO19" s="646" t="str">
        <f>IF(ISNUMBER(NSW!K13),NSW!K13*1000000/AO$7,"")</f>
        <v/>
      </c>
      <c r="AP19" s="646" t="str">
        <f>IF(ISNUMBER(NSW!L13),NSW!L13*1000000/AP$7,"")</f>
        <v/>
      </c>
      <c r="AQ19" s="644" t="str">
        <f>IF(ISNUMBER(NT!K13),NT!K13*1000000/AQ$7,"")</f>
        <v/>
      </c>
      <c r="AR19" s="645" t="str">
        <f>IF(ISNUMBER(NT!L13),NT!L13*1000000/AR$7,"")</f>
        <v/>
      </c>
      <c r="AS19" s="646">
        <f>IF(ISNUMBER(Qld!K13),Qld!K13*1000000/AS$7,"")</f>
        <v>13.775903917542594</v>
      </c>
      <c r="AT19" s="646">
        <f>IF(ISNUMBER(Qld!L13),Qld!L13*1000000/AT$7,"")</f>
        <v>10.677350769566438</v>
      </c>
      <c r="AU19" s="644">
        <f>IF(ISNUMBER(SA!K13),SA!K13*1000000/AU$7,"")</f>
        <v>3.1982042499259897</v>
      </c>
      <c r="AV19" s="645">
        <f>IF(ISNUMBER(SA!L13),SA!L13*1000000/AV$7,"")</f>
        <v>5.9221427733868381E-3</v>
      </c>
      <c r="AW19" s="646" t="str">
        <f>IF(ISNUMBER(TAS!K13),TAS!K13*1000000/AW$7,"")</f>
        <v/>
      </c>
      <c r="AX19" s="646" t="str">
        <f>IF(ISNUMBER(TAS!L13),TAS!L13*1000000/AX$7,"")</f>
        <v/>
      </c>
      <c r="AY19" s="644">
        <f>IF(ISNUMBER(Vic!K13),Vic!K13*1000000/AY$7,"")</f>
        <v>0</v>
      </c>
      <c r="AZ19" s="645">
        <f>IF(ISNUMBER(Vic!L13),Vic!L13*1000000/AZ$7,"")</f>
        <v>2.3509058573867883</v>
      </c>
      <c r="BA19" s="644">
        <f>IF(ISNUMBER(WA!L13),WA!L13*1000000/BA$7,"")</f>
        <v>1.959761902619783</v>
      </c>
      <c r="BB19" s="645">
        <f>IF(ISNUMBER(WA!M13),WA!M13*1000000/BB$7,"")</f>
        <v>3.6518908830544101E-2</v>
      </c>
      <c r="BD19" s="644">
        <v>0</v>
      </c>
      <c r="BE19" s="646">
        <v>0</v>
      </c>
      <c r="BF19" s="646">
        <v>274.75288196389693</v>
      </c>
      <c r="BG19" s="646">
        <v>51.983024012948263</v>
      </c>
      <c r="BH19" s="646">
        <v>28.807653376568695</v>
      </c>
      <c r="BI19" s="646" t="s">
        <v>855</v>
      </c>
      <c r="BJ19" s="646">
        <v>2.3497628008627705</v>
      </c>
      <c r="BK19" s="645">
        <v>0.82401582497627368</v>
      </c>
      <c r="BM19" s="644">
        <f t="shared" si="0"/>
        <v>0</v>
      </c>
      <c r="BN19" s="646" t="str">
        <f t="shared" si="1"/>
        <v/>
      </c>
      <c r="BO19" s="646" t="str">
        <f t="shared" si="2"/>
        <v/>
      </c>
      <c r="BP19" s="646">
        <f t="shared" si="3"/>
        <v>12.221301158482238</v>
      </c>
      <c r="BQ19" s="646">
        <f t="shared" si="4"/>
        <v>1.599040219866547</v>
      </c>
      <c r="BR19" s="646" t="str">
        <f t="shared" si="5"/>
        <v/>
      </c>
      <c r="BS19" s="646">
        <f t="shared" si="6"/>
        <v>1.180321549033801</v>
      </c>
      <c r="BT19" s="645">
        <f t="shared" si="7"/>
        <v>0.99484605809791826</v>
      </c>
    </row>
    <row r="20" spans="2:72">
      <c r="B20" s="1034"/>
      <c r="C20" s="1038"/>
      <c r="D20" s="648" t="s">
        <v>13</v>
      </c>
      <c r="E20" s="649" t="s">
        <v>85</v>
      </c>
      <c r="F20" s="650">
        <f>IF(ISNUMBER(ACT!K14),ACT!K14,"")</f>
        <v>0</v>
      </c>
      <c r="G20" s="532" t="s">
        <v>757</v>
      </c>
      <c r="H20" s="651">
        <f>IF(ISNUMBER(ACT!L14),ACT!L14,"")</f>
        <v>0</v>
      </c>
      <c r="I20" s="534" t="s">
        <v>757</v>
      </c>
      <c r="J20" s="651">
        <f>IF(ISNUMBER(NSW!K14),NSW!K14,"")</f>
        <v>14525.49605</v>
      </c>
      <c r="K20" s="532" t="s">
        <v>757</v>
      </c>
      <c r="L20" s="651">
        <f>IF(ISNUMBER(NSW!L14),NSW!L14,"")</f>
        <v>5777.48</v>
      </c>
      <c r="M20" s="534" t="s">
        <v>757</v>
      </c>
      <c r="N20" s="650" t="str">
        <f>IF(ISNUMBER(NT!K14),NT!K14,"")</f>
        <v/>
      </c>
      <c r="O20" s="532" t="s">
        <v>757</v>
      </c>
      <c r="P20" s="651" t="str">
        <f>IF(ISNUMBER(NT!L14),NT!L14,"")</f>
        <v/>
      </c>
      <c r="Q20" s="534" t="s">
        <v>757</v>
      </c>
      <c r="R20" s="650">
        <f>IF(ISNUMBER(Qld!K14),Qld!K14,"")</f>
        <v>962.20099999999991</v>
      </c>
      <c r="S20" s="532" t="s">
        <v>757</v>
      </c>
      <c r="T20" s="651">
        <f>IF(ISNUMBER(Qld!L14),Qld!L14,"")</f>
        <v>643.10800099999994</v>
      </c>
      <c r="U20" s="534" t="s">
        <v>757</v>
      </c>
      <c r="V20" s="650">
        <f>IF(ISNUMBER(SA!K14),SA!K14,"")</f>
        <v>0.02</v>
      </c>
      <c r="W20" s="532" t="s">
        <v>757</v>
      </c>
      <c r="X20" s="651">
        <f>IF(ISNUMBER(SA!L14),SA!L14,"")</f>
        <v>2.56</v>
      </c>
      <c r="Y20" s="534" t="s">
        <v>757</v>
      </c>
      <c r="Z20" s="650" t="str">
        <f>IF(ISNUMBER(TAS!K14),TAS!K14,"")</f>
        <v/>
      </c>
      <c r="AA20" s="532" t="s">
        <v>757</v>
      </c>
      <c r="AB20" s="651" t="str">
        <f>IF(ISNUMBER(TAS!L14),TAS!L14,"")</f>
        <v/>
      </c>
      <c r="AC20" s="534" t="s">
        <v>757</v>
      </c>
      <c r="AD20" s="650">
        <f>IF(ISNUMBER(Vic!K14),Vic!K14,"")</f>
        <v>1819.2599999999998</v>
      </c>
      <c r="AE20" s="539" t="s">
        <v>757</v>
      </c>
      <c r="AF20" s="651">
        <f>IF(ISNUMBER(Vic!L14),Vic!L14,"")</f>
        <v>8870.8809999999976</v>
      </c>
      <c r="AG20" s="540" t="s">
        <v>757</v>
      </c>
      <c r="AH20" s="650">
        <f>IF(ISNUMBER(WA!L14),WA!L14,"")</f>
        <v>8.32</v>
      </c>
      <c r="AI20" s="532" t="s">
        <v>757</v>
      </c>
      <c r="AJ20" s="651">
        <f>IF(ISNUMBER(WA!M14),WA!M14,"")</f>
        <v>10.925000000000001</v>
      </c>
      <c r="AK20" s="534" t="s">
        <v>757</v>
      </c>
      <c r="AL20" s="652"/>
      <c r="AM20" s="647">
        <f>IF(ISNUMBER(ACT!K14),ACT!K14*1000000/AM$7,"")</f>
        <v>0</v>
      </c>
      <c r="AN20" s="653">
        <f>IF(ISNUMBER(ACT!L14),ACT!L14*1000000/AN$7,"")</f>
        <v>0</v>
      </c>
      <c r="AO20" s="654">
        <f>IF(ISNUMBER(NSW!K14),NSW!K14*1000000/AO$7,"")</f>
        <v>1937.3085747750897</v>
      </c>
      <c r="AP20" s="654">
        <f>IF(ISNUMBER(NSW!L14),NSW!L14*1000000/AP$7,"")</f>
        <v>765.80679068515917</v>
      </c>
      <c r="AQ20" s="647" t="str">
        <f>IF(ISNUMBER(NT!K14),NT!K14*1000000/AQ$7,"")</f>
        <v/>
      </c>
      <c r="AR20" s="653" t="str">
        <f>IF(ISNUMBER(NT!L14),NT!L14*1000000/AR$7,"")</f>
        <v/>
      </c>
      <c r="AS20" s="654">
        <f>IF(ISNUMBER(Qld!K14),Qld!K14*1000000/AS$7,"")</f>
        <v>204.4354934662297</v>
      </c>
      <c r="AT20" s="654">
        <f>IF(ISNUMBER(Qld!L14),Qld!L14*1000000/AT$7,"")</f>
        <v>135.70264567279378</v>
      </c>
      <c r="AU20" s="647">
        <f>IF(ISNUMBER(SA!K14),SA!K14*1000000/AU$7,"")</f>
        <v>1.1889235129836391E-2</v>
      </c>
      <c r="AV20" s="653">
        <f>IF(ISNUMBER(SA!L14),SA!L14*1000000/AV$7,"")</f>
        <v>1.5160685499870306</v>
      </c>
      <c r="AW20" s="654" t="str">
        <f>IF(ISNUMBER(TAS!K14),TAS!K14*1000000/AW$7,"")</f>
        <v/>
      </c>
      <c r="AX20" s="654" t="str">
        <f>IF(ISNUMBER(TAS!L14),TAS!L14*1000000/AX$7,"")</f>
        <v/>
      </c>
      <c r="AY20" s="647">
        <f>IF(ISNUMBER(Vic!K14),Vic!K14*1000000/AY$7,"")</f>
        <v>312.72556125700112</v>
      </c>
      <c r="AZ20" s="653">
        <f>IF(ISNUMBER(Vic!L14),Vic!L14*1000000/AZ$7,"")</f>
        <v>1512.2992097955885</v>
      </c>
      <c r="BA20" s="647">
        <f>IF(ISNUMBER(WA!L14),WA!L14*1000000/BA$7,"")</f>
        <v>3.2545347364863466</v>
      </c>
      <c r="BB20" s="655">
        <f>IF(ISNUMBER(WA!M14),WA!M14*1000000/BB$7,"")</f>
        <v>4.2443519039754714</v>
      </c>
      <c r="BD20" s="647">
        <v>0</v>
      </c>
      <c r="BE20" s="654">
        <v>831.34111958718916</v>
      </c>
      <c r="BF20" s="654">
        <v>0</v>
      </c>
      <c r="BG20" s="654">
        <v>211.35484660408596</v>
      </c>
      <c r="BH20" s="654">
        <v>4.3474236438934524</v>
      </c>
      <c r="BI20" s="654">
        <v>186.98870276587456</v>
      </c>
      <c r="BJ20" s="654">
        <v>1025.5628173035834</v>
      </c>
      <c r="BK20" s="653">
        <v>3.9417364058380269</v>
      </c>
      <c r="BM20" s="647">
        <f t="shared" si="0"/>
        <v>0</v>
      </c>
      <c r="BN20" s="654">
        <f t="shared" si="1"/>
        <v>1349.7456102468834</v>
      </c>
      <c r="BO20" s="654" t="str">
        <f t="shared" si="2"/>
        <v/>
      </c>
      <c r="BP20" s="654">
        <f t="shared" si="3"/>
        <v>169.950922857027</v>
      </c>
      <c r="BQ20" s="654">
        <f t="shared" si="4"/>
        <v>0.76540329633686288</v>
      </c>
      <c r="BR20" s="654" t="str">
        <f t="shared" si="5"/>
        <v/>
      </c>
      <c r="BS20" s="654">
        <f t="shared" si="6"/>
        <v>914.99664862289671</v>
      </c>
      <c r="BT20" s="653">
        <f t="shared" si="7"/>
        <v>3.7511387907708538</v>
      </c>
    </row>
    <row r="21" spans="2:72">
      <c r="B21" s="1034"/>
      <c r="C21" s="1038"/>
      <c r="D21" s="648" t="s">
        <v>14</v>
      </c>
      <c r="E21" s="649" t="s">
        <v>86</v>
      </c>
      <c r="F21" s="650">
        <f>IF(ISNUMBER(ACT!K15),ACT!K15,"")</f>
        <v>6.97</v>
      </c>
      <c r="G21" s="532" t="s">
        <v>757</v>
      </c>
      <c r="H21" s="651">
        <f>IF(ISNUMBER(ACT!L15),ACT!L15,"")</f>
        <v>7.81</v>
      </c>
      <c r="I21" s="534" t="s">
        <v>757</v>
      </c>
      <c r="J21" s="651">
        <f>IF(ISNUMBER(NSW!K15),NSW!K15,"")</f>
        <v>314.23714999999999</v>
      </c>
      <c r="K21" s="532" t="s">
        <v>757</v>
      </c>
      <c r="L21" s="651">
        <f>IF(ISNUMBER(NSW!L15),NSW!L15,"")</f>
        <v>887.77650000000017</v>
      </c>
      <c r="M21" s="534" t="s">
        <v>757</v>
      </c>
      <c r="N21" s="650">
        <f>IF(ISNUMBER(NT!K15),NT!K15,"")</f>
        <v>4.5</v>
      </c>
      <c r="O21" s="532" t="s">
        <v>757</v>
      </c>
      <c r="P21" s="651">
        <f>IF(ISNUMBER(NT!L15),NT!L15,"")</f>
        <v>12</v>
      </c>
      <c r="Q21" s="534" t="s">
        <v>757</v>
      </c>
      <c r="R21" s="650">
        <f>IF(ISNUMBER(Qld!K15),Qld!K15,"")</f>
        <v>185.45099999999999</v>
      </c>
      <c r="S21" s="532" t="s">
        <v>757</v>
      </c>
      <c r="T21" s="651">
        <f>IF(ISNUMBER(Qld!L15),Qld!L15,"")</f>
        <v>106.24600100000011</v>
      </c>
      <c r="U21" s="534" t="s">
        <v>757</v>
      </c>
      <c r="V21" s="650">
        <f>IF(ISNUMBER(SA!K15),SA!K15,"")</f>
        <v>67.66</v>
      </c>
      <c r="W21" s="532" t="s">
        <v>757</v>
      </c>
      <c r="X21" s="651">
        <f>IF(ISNUMBER(SA!L15),SA!L15,"")</f>
        <v>164.51</v>
      </c>
      <c r="Y21" s="534" t="s">
        <v>757</v>
      </c>
      <c r="Z21" s="650">
        <f>IF(ISNUMBER(TAS!K15),TAS!K15,"")</f>
        <v>1.5</v>
      </c>
      <c r="AA21" s="532" t="s">
        <v>757</v>
      </c>
      <c r="AB21" s="651" t="str">
        <f>IF(ISNUMBER(TAS!L15),TAS!L15,"")</f>
        <v/>
      </c>
      <c r="AC21" s="534" t="s">
        <v>757</v>
      </c>
      <c r="AD21" s="650">
        <f>IF(ISNUMBER(Vic!K15),Vic!K15,"")</f>
        <v>2.5909999999999997</v>
      </c>
      <c r="AE21" s="539" t="s">
        <v>757</v>
      </c>
      <c r="AF21" s="651">
        <f>IF(ISNUMBER(Vic!L15),Vic!L15,"")</f>
        <v>36.882000000000005</v>
      </c>
      <c r="AG21" s="540" t="s">
        <v>757</v>
      </c>
      <c r="AH21" s="650">
        <f>IF(ISNUMBER(WA!L15),WA!L15,"")</f>
        <v>35.762599999999999</v>
      </c>
      <c r="AI21" s="532" t="s">
        <v>757</v>
      </c>
      <c r="AJ21" s="651">
        <f>IF(ISNUMBER(WA!M15),WA!M15,"")</f>
        <v>87.33850000000001</v>
      </c>
      <c r="AK21" s="534" t="s">
        <v>757</v>
      </c>
      <c r="AL21" s="652"/>
      <c r="AM21" s="647">
        <f>IF(ISNUMBER(ACT!K15),ACT!K15*1000000/AM$7,"")</f>
        <v>18.106623855022313</v>
      </c>
      <c r="AN21" s="653">
        <f>IF(ISNUMBER(ACT!L15),ACT!L15*1000000/AN$7,"")</f>
        <v>20.199668942685701</v>
      </c>
      <c r="AO21" s="654">
        <f>IF(ISNUMBER(NSW!K15),NSW!K15*1000000/AO$7,"")</f>
        <v>41.910742539349364</v>
      </c>
      <c r="AP21" s="654">
        <f>IF(ISNUMBER(NSW!L15),NSW!L15*1000000/AP$7,"")</f>
        <v>117.67505422964742</v>
      </c>
      <c r="AQ21" s="647">
        <f>IF(ISNUMBER(NT!K15),NT!K15*1000000/AQ$7,"")</f>
        <v>18.458130806620318</v>
      </c>
      <c r="AR21" s="653">
        <f>IF(ISNUMBER(NT!L15),NT!L15*1000000/AR$7,"")</f>
        <v>48.99919151334003</v>
      </c>
      <c r="AS21" s="654">
        <f>IF(ISNUMBER(Qld!K15),Qld!K15*1000000/AS$7,"")</f>
        <v>39.402127724670592</v>
      </c>
      <c r="AT21" s="654">
        <f>IF(ISNUMBER(Qld!L15),Qld!L15*1000000/AT$7,"")</f>
        <v>22.419039112303484</v>
      </c>
      <c r="AU21" s="647">
        <f>IF(ISNUMBER(SA!K15),SA!K15*1000000/AU$7,"")</f>
        <v>40.221282444236515</v>
      </c>
      <c r="AV21" s="653">
        <f>IF(ISNUMBER(SA!L15),SA!L15*1000000/AV$7,"")</f>
        <v>97.425170764986873</v>
      </c>
      <c r="AW21" s="654">
        <f>IF(ISNUMBER(TAS!K15),TAS!K15*1000000/AW$7,"")</f>
        <v>2.9152592442870637</v>
      </c>
      <c r="AX21" s="654" t="str">
        <f>IF(ISNUMBER(TAS!L15),TAS!L15*1000000/AX$7,"")</f>
        <v/>
      </c>
      <c r="AY21" s="647">
        <f>IF(ISNUMBER(Vic!K15),Vic!K15*1000000/AY$7,"")</f>
        <v>0.44538544749892256</v>
      </c>
      <c r="AZ21" s="653">
        <f>IF(ISNUMBER(Vic!L15),Vic!L15*1000000/AZ$7,"")</f>
        <v>6.2876076745568925</v>
      </c>
      <c r="BA21" s="647">
        <f>IF(ISNUMBER(WA!L15),WA!L15*1000000/BA$7,"")</f>
        <v>13.989257688349353</v>
      </c>
      <c r="BB21" s="655">
        <f>IF(ISNUMBER(WA!M15),WA!M15*1000000/BB$7,"")</f>
        <v>33.930922541451878</v>
      </c>
      <c r="BD21" s="647">
        <v>43.525212129898193</v>
      </c>
      <c r="BE21" s="654">
        <v>226.46529026627823</v>
      </c>
      <c r="BF21" s="654">
        <v>212.4032153925566</v>
      </c>
      <c r="BG21" s="654">
        <v>69.310698683931022</v>
      </c>
      <c r="BH21" s="654">
        <v>16.894040506283758</v>
      </c>
      <c r="BI21" s="654">
        <v>3.0190884300740163E-2</v>
      </c>
      <c r="BJ21" s="654">
        <v>7.7579381465615063</v>
      </c>
      <c r="BK21" s="653">
        <v>16.827854446241997</v>
      </c>
      <c r="BM21" s="647">
        <f t="shared" si="0"/>
        <v>19.155449453201342</v>
      </c>
      <c r="BN21" s="654">
        <f t="shared" si="1"/>
        <v>79.910090202974644</v>
      </c>
      <c r="BO21" s="654">
        <f t="shared" si="2"/>
        <v>33.763252076440004</v>
      </c>
      <c r="BP21" s="654">
        <f t="shared" si="3"/>
        <v>30.881390737668422</v>
      </c>
      <c r="BQ21" s="654">
        <f t="shared" si="4"/>
        <v>68.877396631988162</v>
      </c>
      <c r="BR21" s="654">
        <f t="shared" si="5"/>
        <v>1.4569924955173197</v>
      </c>
      <c r="BS21" s="654">
        <f t="shared" si="6"/>
        <v>3.3785955406099522</v>
      </c>
      <c r="BT21" s="653">
        <f t="shared" si="7"/>
        <v>23.994248448769131</v>
      </c>
    </row>
    <row r="22" spans="2:72">
      <c r="B22" s="1034"/>
      <c r="C22" s="1038"/>
      <c r="D22" s="648" t="s">
        <v>15</v>
      </c>
      <c r="E22" s="649" t="s">
        <v>87</v>
      </c>
      <c r="F22" s="650">
        <f>IF(ISNUMBER(ACT!K16),ACT!K16,"")</f>
        <v>0</v>
      </c>
      <c r="G22" s="532" t="s">
        <v>757</v>
      </c>
      <c r="H22" s="651">
        <f>IF(ISNUMBER(ACT!L16),ACT!L16,"")</f>
        <v>0</v>
      </c>
      <c r="I22" s="534" t="s">
        <v>757</v>
      </c>
      <c r="J22" s="651">
        <f>IF(ISNUMBER(NSW!K16),NSW!K16,"")</f>
        <v>95.492000000000004</v>
      </c>
      <c r="K22" s="532" t="s">
        <v>757</v>
      </c>
      <c r="L22" s="651">
        <f>IF(ISNUMBER(NSW!L16),NSW!L16,"")</f>
        <v>51.000500000000002</v>
      </c>
      <c r="M22" s="534" t="s">
        <v>757</v>
      </c>
      <c r="N22" s="650" t="str">
        <f>IF(ISNUMBER(NT!K16),NT!K16,"")</f>
        <v/>
      </c>
      <c r="O22" s="532" t="s">
        <v>757</v>
      </c>
      <c r="P22" s="651" t="str">
        <f>IF(ISNUMBER(NT!L16),NT!L16,"")</f>
        <v/>
      </c>
      <c r="Q22" s="534" t="s">
        <v>757</v>
      </c>
      <c r="R22" s="650">
        <f>IF(ISNUMBER(Qld!K16),Qld!K16,"")</f>
        <v>337.5</v>
      </c>
      <c r="S22" s="532" t="s">
        <v>757</v>
      </c>
      <c r="T22" s="651">
        <f>IF(ISNUMBER(Qld!L16),Qld!L16,"")</f>
        <v>27.423001000000003</v>
      </c>
      <c r="U22" s="534" t="s">
        <v>757</v>
      </c>
      <c r="V22" s="650">
        <f>IF(ISNUMBER(SA!K16),SA!K16,"")</f>
        <v>0.1</v>
      </c>
      <c r="W22" s="532" t="s">
        <v>757</v>
      </c>
      <c r="X22" s="651">
        <f>IF(ISNUMBER(SA!L16),SA!L16,"")</f>
        <v>0.02</v>
      </c>
      <c r="Y22" s="534" t="s">
        <v>757</v>
      </c>
      <c r="Z22" s="650" t="str">
        <f>IF(ISNUMBER(TAS!K16),TAS!K16,"")</f>
        <v/>
      </c>
      <c r="AA22" s="532" t="s">
        <v>757</v>
      </c>
      <c r="AB22" s="651" t="str">
        <f>IF(ISNUMBER(TAS!L16),TAS!L16,"")</f>
        <v/>
      </c>
      <c r="AC22" s="534" t="s">
        <v>757</v>
      </c>
      <c r="AD22" s="650">
        <f>IF(ISNUMBER(Vic!K16),Vic!K16,"")</f>
        <v>14.89</v>
      </c>
      <c r="AE22" s="539" t="s">
        <v>757</v>
      </c>
      <c r="AF22" s="651">
        <f>IF(ISNUMBER(Vic!L16),Vic!L16,"")</f>
        <v>8.9600000000000009</v>
      </c>
      <c r="AG22" s="540" t="s">
        <v>757</v>
      </c>
      <c r="AH22" s="650">
        <f>IF(ISNUMBER(WA!L16),WA!L16,"")</f>
        <v>7.85</v>
      </c>
      <c r="AI22" s="532" t="s">
        <v>757</v>
      </c>
      <c r="AJ22" s="651">
        <f>IF(ISNUMBER(WA!M16),WA!M16,"")</f>
        <v>5.25</v>
      </c>
      <c r="AK22" s="534" t="s">
        <v>757</v>
      </c>
      <c r="AL22" s="652"/>
      <c r="AM22" s="647">
        <f>IF(ISNUMBER(ACT!K16),ACT!K16*1000000/AM$7,"")</f>
        <v>0</v>
      </c>
      <c r="AN22" s="653">
        <f>IF(ISNUMBER(ACT!L16),ACT!L16*1000000/AN$7,"")</f>
        <v>0</v>
      </c>
      <c r="AO22" s="654">
        <f>IF(ISNUMBER(NSW!K16),NSW!K16*1000000/AO$7,"")</f>
        <v>12.736051821267948</v>
      </c>
      <c r="AP22" s="654">
        <f>IF(ISNUMBER(NSW!L16),NSW!L16*1000000/AP$7,"")</f>
        <v>6.7601323117238765</v>
      </c>
      <c r="AQ22" s="647" t="str">
        <f>IF(ISNUMBER(NT!K16),NT!K16*1000000/AQ$7,"")</f>
        <v/>
      </c>
      <c r="AR22" s="653" t="str">
        <f>IF(ISNUMBER(NT!L16),NT!L16*1000000/AR$7,"")</f>
        <v/>
      </c>
      <c r="AS22" s="654">
        <f>IF(ISNUMBER(Qld!K16),Qld!K16*1000000/AS$7,"")</f>
        <v>71.707448906052406</v>
      </c>
      <c r="AT22" s="654">
        <f>IF(ISNUMBER(Qld!L16),Qld!L16*1000000/AT$7,"")</f>
        <v>5.7865456225099434</v>
      </c>
      <c r="AU22" s="647">
        <f>IF(ISNUMBER(SA!K16),SA!K16*1000000/AU$7,"")</f>
        <v>5.9446175649181962E-2</v>
      </c>
      <c r="AV22" s="653">
        <f>IF(ISNUMBER(SA!L16),SA!L16*1000000/AV$7,"")</f>
        <v>1.1844285546773676E-2</v>
      </c>
      <c r="AW22" s="654" t="str">
        <f>IF(ISNUMBER(TAS!K16),TAS!K16*1000000/AW$7,"")</f>
        <v/>
      </c>
      <c r="AX22" s="654" t="str">
        <f>IF(ISNUMBER(TAS!L16),TAS!L16*1000000/AX$7,"")</f>
        <v/>
      </c>
      <c r="AY22" s="647">
        <f>IF(ISNUMBER(Vic!K16),Vic!K16*1000000/AY$7,"")</f>
        <v>2.5595481718483049</v>
      </c>
      <c r="AZ22" s="653">
        <f>IF(ISNUMBER(Vic!L16),Vic!L16*1000000/AZ$7,"")</f>
        <v>1.5274921306878624</v>
      </c>
      <c r="BA22" s="647">
        <f>IF(ISNUMBER(WA!L16),WA!L16*1000000/BA$7,"")</f>
        <v>3.0706848174781034</v>
      </c>
      <c r="BB22" s="655">
        <f>IF(ISNUMBER(WA!M16),WA!M16*1000000/BB$7,"")</f>
        <v>2.0396199080888993</v>
      </c>
      <c r="BD22" s="647">
        <v>0</v>
      </c>
      <c r="BE22" s="654">
        <v>6.7218982640697737E-4</v>
      </c>
      <c r="BF22" s="654">
        <v>0</v>
      </c>
      <c r="BG22" s="654">
        <v>26.954160599306508</v>
      </c>
      <c r="BH22" s="654">
        <v>0.42996497576968207</v>
      </c>
      <c r="BI22" s="654" t="s">
        <v>855</v>
      </c>
      <c r="BJ22" s="654">
        <v>12.702935531834417</v>
      </c>
      <c r="BK22" s="653">
        <v>1.736416665813037E-2</v>
      </c>
      <c r="BM22" s="647">
        <f t="shared" si="0"/>
        <v>0</v>
      </c>
      <c r="BN22" s="654">
        <f t="shared" si="1"/>
        <v>9.7388485472351025</v>
      </c>
      <c r="BO22" s="654" t="str">
        <f t="shared" si="2"/>
        <v/>
      </c>
      <c r="BP22" s="654">
        <f t="shared" si="3"/>
        <v>38.633684077689779</v>
      </c>
      <c r="BQ22" s="654">
        <f t="shared" si="4"/>
        <v>3.560015331799362E-2</v>
      </c>
      <c r="BR22" s="654" t="str">
        <f t="shared" si="5"/>
        <v/>
      </c>
      <c r="BS22" s="654">
        <f t="shared" si="6"/>
        <v>2.0413828096052327</v>
      </c>
      <c r="BT22" s="653">
        <f t="shared" si="7"/>
        <v>2.5533862384566475</v>
      </c>
    </row>
    <row r="23" spans="2:72">
      <c r="B23" s="1034"/>
      <c r="C23" s="1038"/>
      <c r="D23" s="648" t="s">
        <v>16</v>
      </c>
      <c r="E23" s="649" t="s">
        <v>88</v>
      </c>
      <c r="F23" s="650">
        <f>IF(ISNUMBER(ACT!K17),ACT!K17,"")</f>
        <v>0</v>
      </c>
      <c r="G23" s="532" t="s">
        <v>757</v>
      </c>
      <c r="H23" s="651">
        <f>IF(ISNUMBER(ACT!L17),ACT!L17,"")</f>
        <v>0</v>
      </c>
      <c r="I23" s="534" t="s">
        <v>757</v>
      </c>
      <c r="J23" s="651">
        <f>IF(ISNUMBER(NSW!K17),NSW!K17,"")</f>
        <v>153.76560000000001</v>
      </c>
      <c r="K23" s="532" t="s">
        <v>757</v>
      </c>
      <c r="L23" s="651">
        <f>IF(ISNUMBER(NSW!L17),NSW!L17,"")</f>
        <v>167.59650000000002</v>
      </c>
      <c r="M23" s="534" t="s">
        <v>757</v>
      </c>
      <c r="N23" s="650" t="str">
        <f>IF(ISNUMBER(NT!K17),NT!K17,"")</f>
        <v/>
      </c>
      <c r="O23" s="532" t="s">
        <v>757</v>
      </c>
      <c r="P23" s="651" t="str">
        <f>IF(ISNUMBER(NT!L17),NT!L17,"")</f>
        <v/>
      </c>
      <c r="Q23" s="534" t="s">
        <v>757</v>
      </c>
      <c r="R23" s="650">
        <f>IF(ISNUMBER(Qld!K17),Qld!K17,"")</f>
        <v>45.498000000000005</v>
      </c>
      <c r="S23" s="532" t="s">
        <v>757</v>
      </c>
      <c r="T23" s="651">
        <f>IF(ISNUMBER(Qld!L17),Qld!L17,"")</f>
        <v>95.400001000000003</v>
      </c>
      <c r="U23" s="534" t="s">
        <v>757</v>
      </c>
      <c r="V23" s="650">
        <f>IF(ISNUMBER(SA!K17),SA!K17,"")</f>
        <v>0</v>
      </c>
      <c r="W23" s="532" t="s">
        <v>757</v>
      </c>
      <c r="X23" s="651">
        <f>IF(ISNUMBER(SA!L17),SA!L17,"")</f>
        <v>0</v>
      </c>
      <c r="Y23" s="534" t="s">
        <v>757</v>
      </c>
      <c r="Z23" s="650" t="str">
        <f>IF(ISNUMBER(TAS!K17),TAS!K17,"")</f>
        <v/>
      </c>
      <c r="AA23" s="532" t="s">
        <v>757</v>
      </c>
      <c r="AB23" s="651" t="str">
        <f>IF(ISNUMBER(TAS!L17),TAS!L17,"")</f>
        <v/>
      </c>
      <c r="AC23" s="534" t="s">
        <v>757</v>
      </c>
      <c r="AD23" s="650">
        <f>IF(ISNUMBER(Vic!K17),Vic!K17,"")</f>
        <v>421.49</v>
      </c>
      <c r="AE23" s="539" t="s">
        <v>757</v>
      </c>
      <c r="AF23" s="651">
        <f>IF(ISNUMBER(Vic!L17),Vic!L17,"")</f>
        <v>500.88999999999987</v>
      </c>
      <c r="AG23" s="540" t="s">
        <v>757</v>
      </c>
      <c r="AH23" s="650" t="str">
        <f>IF(ISNUMBER(WA!L17),WA!L17,"")</f>
        <v/>
      </c>
      <c r="AI23" s="532" t="s">
        <v>757</v>
      </c>
      <c r="AJ23" s="651" t="str">
        <f>IF(ISNUMBER(WA!M17),WA!M17,"")</f>
        <v/>
      </c>
      <c r="AK23" s="534" t="s">
        <v>757</v>
      </c>
      <c r="AL23" s="652"/>
      <c r="AM23" s="647">
        <f>IF(ISNUMBER(ACT!K17),ACT!K17*1000000/AM$7,"")</f>
        <v>0</v>
      </c>
      <c r="AN23" s="653">
        <f>IF(ISNUMBER(ACT!L17),ACT!L17*1000000/AN$7,"")</f>
        <v>0</v>
      </c>
      <c r="AO23" s="654">
        <f>IF(ISNUMBER(NSW!K17),NSW!K17*1000000/AO$7,"")</f>
        <v>20.508175029618801</v>
      </c>
      <c r="AP23" s="654">
        <f>IF(ISNUMBER(NSW!L17),NSW!L17*1000000/AP$7,"")</f>
        <v>22.214968774459678</v>
      </c>
      <c r="AQ23" s="647" t="str">
        <f>IF(ISNUMBER(NT!K17),NT!K17*1000000/AQ$7,"")</f>
        <v/>
      </c>
      <c r="AR23" s="653" t="str">
        <f>IF(ISNUMBER(NT!L17),NT!L17*1000000/AR$7,"")</f>
        <v/>
      </c>
      <c r="AS23" s="654">
        <f>IF(ISNUMBER(Qld!K17),Qld!K17*1000000/AS$7,"")</f>
        <v>9.6668015120816975</v>
      </c>
      <c r="AT23" s="654">
        <f>IF(ISNUMBER(Qld!L17),Qld!L17*1000000/AT$7,"")</f>
        <v>20.130417461385576</v>
      </c>
      <c r="AU23" s="647">
        <f>IF(ISNUMBER(SA!K17),SA!K17*1000000/AU$7,"")</f>
        <v>0</v>
      </c>
      <c r="AV23" s="653">
        <f>IF(ISNUMBER(SA!L17),SA!L17*1000000/AV$7,"")</f>
        <v>0</v>
      </c>
      <c r="AW23" s="654" t="str">
        <f>IF(ISNUMBER(TAS!K17),TAS!K17*1000000/AW$7,"")</f>
        <v/>
      </c>
      <c r="AX23" s="654" t="str">
        <f>IF(ISNUMBER(TAS!L17),TAS!L17*1000000/AX$7,"")</f>
        <v/>
      </c>
      <c r="AY23" s="647">
        <f>IF(ISNUMBER(Vic!K17),Vic!K17*1000000/AY$7,"")</f>
        <v>72.452918667047825</v>
      </c>
      <c r="AZ23" s="653">
        <f>IF(ISNUMBER(Vic!L17),Vic!L17*1000000/AZ$7,"")</f>
        <v>85.391242560294998</v>
      </c>
      <c r="BA23" s="647" t="str">
        <f>IF(ISNUMBER(WA!L17),WA!L17*1000000/BA$7,"")</f>
        <v/>
      </c>
      <c r="BB23" s="655" t="str">
        <f>IF(ISNUMBER(WA!M17),WA!M17*1000000/BB$7,"")</f>
        <v/>
      </c>
      <c r="BD23" s="647">
        <v>0</v>
      </c>
      <c r="BE23" s="654">
        <v>82.503413465604964</v>
      </c>
      <c r="BF23" s="654">
        <v>0</v>
      </c>
      <c r="BG23" s="654">
        <v>41.714772356069595</v>
      </c>
      <c r="BH23" s="654">
        <v>5.3148448393752368</v>
      </c>
      <c r="BI23" s="654" t="s">
        <v>855</v>
      </c>
      <c r="BJ23" s="654">
        <v>126.04722831566411</v>
      </c>
      <c r="BK23" s="653">
        <v>35.525194471937141</v>
      </c>
      <c r="BM23" s="647">
        <f t="shared" si="0"/>
        <v>0</v>
      </c>
      <c r="BN23" s="654">
        <f t="shared" si="1"/>
        <v>21.364211961168127</v>
      </c>
      <c r="BO23" s="654" t="str">
        <f t="shared" si="2"/>
        <v/>
      </c>
      <c r="BP23" s="654">
        <f t="shared" si="3"/>
        <v>14.916595673321284</v>
      </c>
      <c r="BQ23" s="654">
        <f t="shared" si="4"/>
        <v>0</v>
      </c>
      <c r="BR23" s="654" t="str">
        <f t="shared" si="5"/>
        <v/>
      </c>
      <c r="BS23" s="654">
        <f t="shared" si="6"/>
        <v>78.948875300782987</v>
      </c>
      <c r="BT23" s="653" t="str">
        <f t="shared" si="7"/>
        <v/>
      </c>
    </row>
    <row r="24" spans="2:72">
      <c r="B24" s="1034"/>
      <c r="C24" s="1038"/>
      <c r="D24" s="648" t="s">
        <v>17</v>
      </c>
      <c r="E24" s="649" t="s">
        <v>89</v>
      </c>
      <c r="F24" s="650">
        <f>IF(ISNUMBER(ACT!K18),ACT!K18,"")</f>
        <v>0</v>
      </c>
      <c r="G24" s="532" t="s">
        <v>757</v>
      </c>
      <c r="H24" s="651">
        <f>IF(ISNUMBER(ACT!L18),ACT!L18,"")</f>
        <v>0</v>
      </c>
      <c r="I24" s="534" t="s">
        <v>757</v>
      </c>
      <c r="J24" s="651">
        <f>IF(ISNUMBER(NSW!K18),NSW!K18,"")</f>
        <v>2.7408000000000001</v>
      </c>
      <c r="K24" s="532" t="s">
        <v>757</v>
      </c>
      <c r="L24" s="651">
        <f>IF(ISNUMBER(NSW!L18),NSW!L18,"")</f>
        <v>3.1874999999999996</v>
      </c>
      <c r="M24" s="534" t="s">
        <v>757</v>
      </c>
      <c r="N24" s="650" t="str">
        <f>IF(ISNUMBER(NT!K18),NT!K18,"")</f>
        <v/>
      </c>
      <c r="O24" s="532" t="s">
        <v>757</v>
      </c>
      <c r="P24" s="651" t="str">
        <f>IF(ISNUMBER(NT!L18),NT!L18,"")</f>
        <v/>
      </c>
      <c r="Q24" s="534" t="s">
        <v>757</v>
      </c>
      <c r="R24" s="650">
        <f>IF(ISNUMBER(Qld!K18),Qld!K18,"")</f>
        <v>7.0920000000000005</v>
      </c>
      <c r="S24" s="532" t="s">
        <v>757</v>
      </c>
      <c r="T24" s="651">
        <f>IF(ISNUMBER(Qld!L18),Qld!L18,"")</f>
        <v>4.335001000000001</v>
      </c>
      <c r="U24" s="534" t="s">
        <v>757</v>
      </c>
      <c r="V24" s="650">
        <f>IF(ISNUMBER(SA!K18),SA!K18,"")</f>
        <v>0.14000000000000001</v>
      </c>
      <c r="W24" s="532" t="s">
        <v>757</v>
      </c>
      <c r="X24" s="651">
        <f>IF(ISNUMBER(SA!L18),SA!L18,"")</f>
        <v>1.7</v>
      </c>
      <c r="Y24" s="534" t="s">
        <v>757</v>
      </c>
      <c r="Z24" s="650" t="str">
        <f>IF(ISNUMBER(TAS!K18),TAS!K18,"")</f>
        <v/>
      </c>
      <c r="AA24" s="532" t="s">
        <v>757</v>
      </c>
      <c r="AB24" s="651" t="str">
        <f>IF(ISNUMBER(TAS!L18),TAS!L18,"")</f>
        <v/>
      </c>
      <c r="AC24" s="534" t="s">
        <v>757</v>
      </c>
      <c r="AD24" s="650">
        <f>IF(ISNUMBER(Vic!K18),Vic!K18,"")</f>
        <v>15.2</v>
      </c>
      <c r="AE24" s="539" t="s">
        <v>757</v>
      </c>
      <c r="AF24" s="651">
        <f>IF(ISNUMBER(Vic!L18),Vic!L18,"")</f>
        <v>15.469999999999999</v>
      </c>
      <c r="AG24" s="540" t="s">
        <v>757</v>
      </c>
      <c r="AH24" s="650" t="str">
        <f>IF(ISNUMBER(WA!L18),WA!L18,"")</f>
        <v/>
      </c>
      <c r="AI24" s="532" t="s">
        <v>757</v>
      </c>
      <c r="AJ24" s="651" t="str">
        <f>IF(ISNUMBER(WA!M18),WA!M18,"")</f>
        <v/>
      </c>
      <c r="AK24" s="534" t="s">
        <v>757</v>
      </c>
      <c r="AL24" s="652"/>
      <c r="AM24" s="647">
        <f>IF(ISNUMBER(ACT!K18),ACT!K18*1000000/AM$7,"")</f>
        <v>0</v>
      </c>
      <c r="AN24" s="653">
        <f>IF(ISNUMBER(ACT!L18),ACT!L18*1000000/AN$7,"")</f>
        <v>0</v>
      </c>
      <c r="AO24" s="654">
        <f>IF(ISNUMBER(NSW!K18),NSW!K18*1000000/AO$7,"")</f>
        <v>0.36554864105612189</v>
      </c>
      <c r="AP24" s="654">
        <f>IF(ISNUMBER(NSW!L18),NSW!L18*1000000/AP$7,"")</f>
        <v>0.42250412728541586</v>
      </c>
      <c r="AQ24" s="647" t="str">
        <f>IF(ISNUMBER(NT!K18),NT!K18*1000000/AQ$7,"")</f>
        <v/>
      </c>
      <c r="AR24" s="653" t="str">
        <f>IF(ISNUMBER(NT!L18),NT!L18*1000000/AR$7,"")</f>
        <v/>
      </c>
      <c r="AS24" s="654">
        <f>IF(ISNUMBER(Qld!K18),Qld!K18*1000000/AS$7,"")</f>
        <v>1.5068125263458481</v>
      </c>
      <c r="AT24" s="654">
        <f>IF(ISNUMBER(Qld!L18),Qld!L18*1000000/AT$7,"")</f>
        <v>0.91473143512361133</v>
      </c>
      <c r="AU24" s="647">
        <f>IF(ISNUMBER(SA!K18),SA!K18*1000000/AU$7,"")</f>
        <v>8.3224645908854741E-2</v>
      </c>
      <c r="AV24" s="653">
        <f>IF(ISNUMBER(SA!L18),SA!L18*1000000/AV$7,"")</f>
        <v>1.0067642714757625</v>
      </c>
      <c r="AW24" s="654" t="str">
        <f>IF(ISNUMBER(TAS!K18),TAS!K18*1000000/AW$7,"")</f>
        <v/>
      </c>
      <c r="AX24" s="654" t="str">
        <f>IF(ISNUMBER(TAS!L18),TAS!L18*1000000/AX$7,"")</f>
        <v/>
      </c>
      <c r="AY24" s="647">
        <f>IF(ISNUMBER(Vic!K18),Vic!K18*1000000/AY$7,"")</f>
        <v>2.6128362801943745</v>
      </c>
      <c r="AZ24" s="653">
        <f>IF(ISNUMBER(Vic!L18),Vic!L18*1000000/AZ$7,"")</f>
        <v>2.6373106318907622</v>
      </c>
      <c r="BA24" s="647" t="str">
        <f>IF(ISNUMBER(WA!L18),WA!L18*1000000/BA$7,"")</f>
        <v/>
      </c>
      <c r="BB24" s="655" t="str">
        <f>IF(ISNUMBER(WA!M18),WA!M18*1000000/BB$7,"")</f>
        <v/>
      </c>
      <c r="BD24" s="647">
        <v>0</v>
      </c>
      <c r="BE24" s="654">
        <v>1.1156387643161823</v>
      </c>
      <c r="BF24" s="654">
        <v>0</v>
      </c>
      <c r="BG24" s="654">
        <v>1.7113752761464449</v>
      </c>
      <c r="BH24" s="654">
        <v>2.2274574439179364</v>
      </c>
      <c r="BI24" s="654">
        <v>4.6786131671211528</v>
      </c>
      <c r="BJ24" s="654">
        <v>0.11654136719822479</v>
      </c>
      <c r="BK24" s="653">
        <v>3.1765252160601869</v>
      </c>
      <c r="BM24" s="647">
        <f t="shared" si="0"/>
        <v>0</v>
      </c>
      <c r="BN24" s="654">
        <f t="shared" si="1"/>
        <v>0.39411448260200255</v>
      </c>
      <c r="BO24" s="654" t="str">
        <f t="shared" si="2"/>
        <v/>
      </c>
      <c r="BP24" s="654">
        <f t="shared" si="3"/>
        <v>1.2097542368655607</v>
      </c>
      <c r="BQ24" s="654">
        <f t="shared" si="4"/>
        <v>0.545869017542569</v>
      </c>
      <c r="BR24" s="654" t="str">
        <f t="shared" si="5"/>
        <v/>
      </c>
      <c r="BS24" s="654">
        <f t="shared" si="6"/>
        <v>2.6251241413246325</v>
      </c>
      <c r="BT24" s="653" t="str">
        <f t="shared" si="7"/>
        <v/>
      </c>
    </row>
    <row r="25" spans="2:72">
      <c r="B25" s="1034"/>
      <c r="C25" s="1038"/>
      <c r="D25" s="648" t="s">
        <v>18</v>
      </c>
      <c r="E25" s="649" t="s">
        <v>90</v>
      </c>
      <c r="F25" s="650">
        <f>IF(ISNUMBER(ACT!K19),ACT!K19,"")</f>
        <v>0</v>
      </c>
      <c r="G25" s="532" t="s">
        <v>757</v>
      </c>
      <c r="H25" s="651">
        <f>IF(ISNUMBER(ACT!L19),ACT!L19,"")</f>
        <v>0</v>
      </c>
      <c r="I25" s="534" t="s">
        <v>757</v>
      </c>
      <c r="J25" s="651">
        <f>IF(ISNUMBER(NSW!K19),NSW!K19,"")</f>
        <v>5.0000000000000001E-4</v>
      </c>
      <c r="K25" s="532" t="s">
        <v>757</v>
      </c>
      <c r="L25" s="651" t="str">
        <f>IF(ISNUMBER(NSW!L19),NSW!L19,"")</f>
        <v/>
      </c>
      <c r="M25" s="534" t="s">
        <v>757</v>
      </c>
      <c r="N25" s="650" t="str">
        <f>IF(ISNUMBER(NT!K19),NT!K19,"")</f>
        <v/>
      </c>
      <c r="O25" s="532" t="s">
        <v>757</v>
      </c>
      <c r="P25" s="651" t="str">
        <f>IF(ISNUMBER(NT!L19),NT!L19,"")</f>
        <v/>
      </c>
      <c r="Q25" s="534" t="s">
        <v>757</v>
      </c>
      <c r="R25" s="650">
        <f>IF(ISNUMBER(Qld!K19),Qld!K19,"")</f>
        <v>16.112000000000002</v>
      </c>
      <c r="S25" s="532" t="s">
        <v>757</v>
      </c>
      <c r="T25" s="651">
        <f>IF(ISNUMBER(Qld!L19),Qld!L19,"")</f>
        <v>0.90000100000000005</v>
      </c>
      <c r="U25" s="534" t="s">
        <v>757</v>
      </c>
      <c r="V25" s="650">
        <f>IF(ISNUMBER(SA!K19),SA!K19,"")</f>
        <v>0</v>
      </c>
      <c r="W25" s="532" t="s">
        <v>757</v>
      </c>
      <c r="X25" s="651">
        <f>IF(ISNUMBER(SA!L19),SA!L19,"")</f>
        <v>0</v>
      </c>
      <c r="Y25" s="534" t="s">
        <v>757</v>
      </c>
      <c r="Z25" s="650" t="str">
        <f>IF(ISNUMBER(TAS!K19),TAS!K19,"")</f>
        <v/>
      </c>
      <c r="AA25" s="532" t="s">
        <v>757</v>
      </c>
      <c r="AB25" s="651" t="str">
        <f>IF(ISNUMBER(TAS!L19),TAS!L19,"")</f>
        <v/>
      </c>
      <c r="AC25" s="534" t="s">
        <v>757</v>
      </c>
      <c r="AD25" s="650">
        <f>IF(ISNUMBER(Vic!K19),Vic!K19,"")</f>
        <v>0</v>
      </c>
      <c r="AE25" s="539" t="s">
        <v>757</v>
      </c>
      <c r="AF25" s="651">
        <f>IF(ISNUMBER(Vic!L19),Vic!L19,"")</f>
        <v>21.86</v>
      </c>
      <c r="AG25" s="540" t="s">
        <v>757</v>
      </c>
      <c r="AH25" s="650">
        <f>IF(ISNUMBER(WA!L19),WA!L19,"")</f>
        <v>0.01</v>
      </c>
      <c r="AI25" s="532" t="s">
        <v>757</v>
      </c>
      <c r="AJ25" s="651">
        <f>IF(ISNUMBER(WA!M19),WA!M19,"")</f>
        <v>7.0000000000000001E-3</v>
      </c>
      <c r="AK25" s="534" t="s">
        <v>757</v>
      </c>
      <c r="AL25" s="652"/>
      <c r="AM25" s="647">
        <f>IF(ISNUMBER(ACT!K19),ACT!K19*1000000/AM$7,"")</f>
        <v>0</v>
      </c>
      <c r="AN25" s="653">
        <f>IF(ISNUMBER(ACT!L19),ACT!L19*1000000/AN$7,"")</f>
        <v>0</v>
      </c>
      <c r="AO25" s="654">
        <f>IF(ISNUMBER(NSW!K19),NSW!K19*1000000/AO$7,"")</f>
        <v>6.6686485890273252E-5</v>
      </c>
      <c r="AP25" s="654" t="str">
        <f>IF(ISNUMBER(NSW!L19),NSW!L19*1000000/AP$7,"")</f>
        <v/>
      </c>
      <c r="AQ25" s="647" t="str">
        <f>IF(ISNUMBER(NT!K19),NT!K19*1000000/AQ$7,"")</f>
        <v/>
      </c>
      <c r="AR25" s="653" t="str">
        <f>IF(ISNUMBER(NT!L19),NT!L19*1000000/AR$7,"")</f>
        <v/>
      </c>
      <c r="AS25" s="654">
        <f>IF(ISNUMBER(Qld!K19),Qld!K19*1000000/AS$7,"")</f>
        <v>3.4232604941461231</v>
      </c>
      <c r="AT25" s="654">
        <f>IF(ISNUMBER(Qld!L19),Qld!L19*1000000/AT$7,"")</f>
        <v>0.18990980771231314</v>
      </c>
      <c r="AU25" s="647">
        <f>IF(ISNUMBER(SA!K19),SA!K19*1000000/AU$7,"")</f>
        <v>0</v>
      </c>
      <c r="AV25" s="653">
        <f>IF(ISNUMBER(SA!L19),SA!L19*1000000/AV$7,"")</f>
        <v>0</v>
      </c>
      <c r="AW25" s="654" t="str">
        <f>IF(ISNUMBER(TAS!K19),TAS!K19*1000000/AW$7,"")</f>
        <v/>
      </c>
      <c r="AX25" s="654" t="str">
        <f>IF(ISNUMBER(TAS!L19),TAS!L19*1000000/AX$7,"")</f>
        <v/>
      </c>
      <c r="AY25" s="647">
        <f>IF(ISNUMBER(Vic!K19),Vic!K19*1000000/AY$7,"")</f>
        <v>0</v>
      </c>
      <c r="AZ25" s="653">
        <f>IF(ISNUMBER(Vic!L19),Vic!L19*1000000/AZ$7,"")</f>
        <v>3.7266716492005214</v>
      </c>
      <c r="BA25" s="647">
        <f>IF(ISNUMBER(WA!L19),WA!L19*1000000/BA$7,"")</f>
        <v>3.9117004044307048E-3</v>
      </c>
      <c r="BB25" s="655">
        <f>IF(ISNUMBER(WA!M19),WA!M19*1000000/BB$7,"")</f>
        <v>2.7194932107851991E-3</v>
      </c>
      <c r="BD25" s="647">
        <v>0</v>
      </c>
      <c r="BE25" s="654">
        <v>0</v>
      </c>
      <c r="BF25" s="654">
        <v>0</v>
      </c>
      <c r="BG25" s="654">
        <v>0.21392190951830561</v>
      </c>
      <c r="BH25" s="654">
        <v>5.3745621971210258E-2</v>
      </c>
      <c r="BI25" s="654" t="s">
        <v>855</v>
      </c>
      <c r="BJ25" s="654">
        <v>0.69994815134068944</v>
      </c>
      <c r="BK25" s="653">
        <v>0.11752408945447192</v>
      </c>
      <c r="BM25" s="647">
        <f t="shared" si="0"/>
        <v>0</v>
      </c>
      <c r="BN25" s="654">
        <f t="shared" si="1"/>
        <v>3.3240092657423082E-5</v>
      </c>
      <c r="BO25" s="654" t="str">
        <f t="shared" si="2"/>
        <v/>
      </c>
      <c r="BP25" s="654">
        <f t="shared" si="3"/>
        <v>1.8010272587979259</v>
      </c>
      <c r="BQ25" s="654">
        <f t="shared" si="4"/>
        <v>0</v>
      </c>
      <c r="BR25" s="654" t="str">
        <f t="shared" si="5"/>
        <v/>
      </c>
      <c r="BS25" s="654">
        <f t="shared" si="6"/>
        <v>1.8710535940448798</v>
      </c>
      <c r="BT25" s="653">
        <f t="shared" si="7"/>
        <v>3.3135546605925961E-3</v>
      </c>
    </row>
    <row r="26" spans="2:72">
      <c r="B26" s="1034"/>
      <c r="C26" s="1038"/>
      <c r="D26" s="648" t="s">
        <v>19</v>
      </c>
      <c r="E26" s="649" t="s">
        <v>141</v>
      </c>
      <c r="F26" s="650">
        <f>IF(ISNUMBER(ACT!K20),ACT!K20,"")</f>
        <v>0</v>
      </c>
      <c r="G26" s="532" t="s">
        <v>757</v>
      </c>
      <c r="H26" s="651">
        <f>IF(ISNUMBER(ACT!L20),ACT!L20,"")</f>
        <v>0</v>
      </c>
      <c r="I26" s="534" t="s">
        <v>757</v>
      </c>
      <c r="J26" s="651" t="str">
        <f>IF(ISNUMBER(NSW!K20),NSW!K20,"")</f>
        <v/>
      </c>
      <c r="K26" s="532" t="s">
        <v>757</v>
      </c>
      <c r="L26" s="651" t="str">
        <f>IF(ISNUMBER(NSW!L20),NSW!L20,"")</f>
        <v/>
      </c>
      <c r="M26" s="534" t="s">
        <v>757</v>
      </c>
      <c r="N26" s="650" t="str">
        <f>IF(ISNUMBER(NT!K20),NT!K20,"")</f>
        <v/>
      </c>
      <c r="O26" s="532" t="s">
        <v>757</v>
      </c>
      <c r="P26" s="651" t="str">
        <f>IF(ISNUMBER(NT!L20),NT!L20,"")</f>
        <v/>
      </c>
      <c r="Q26" s="534" t="s">
        <v>757</v>
      </c>
      <c r="R26" s="650">
        <f>IF(ISNUMBER(Qld!K20),Qld!K20,"")</f>
        <v>0</v>
      </c>
      <c r="S26" s="532" t="s">
        <v>757</v>
      </c>
      <c r="T26" s="651">
        <f>IF(ISNUMBER(Qld!L20),Qld!L20,"")</f>
        <v>9.9999999999999995E-7</v>
      </c>
      <c r="U26" s="534" t="s">
        <v>757</v>
      </c>
      <c r="V26" s="650">
        <f>IF(ISNUMBER(SA!K20),SA!K20,"")</f>
        <v>0</v>
      </c>
      <c r="W26" s="532" t="s">
        <v>757</v>
      </c>
      <c r="X26" s="651">
        <f>IF(ISNUMBER(SA!L20),SA!L20,"")</f>
        <v>0</v>
      </c>
      <c r="Y26" s="534" t="s">
        <v>757</v>
      </c>
      <c r="Z26" s="650" t="str">
        <f>IF(ISNUMBER(TAS!K20),TAS!K20,"")</f>
        <v/>
      </c>
      <c r="AA26" s="532" t="s">
        <v>757</v>
      </c>
      <c r="AB26" s="651" t="str">
        <f>IF(ISNUMBER(TAS!L20),TAS!L20,"")</f>
        <v/>
      </c>
      <c r="AC26" s="534" t="s">
        <v>757</v>
      </c>
      <c r="AD26" s="650">
        <f>IF(ISNUMBER(Vic!K20),Vic!K20,"")</f>
        <v>0</v>
      </c>
      <c r="AE26" s="539" t="s">
        <v>757</v>
      </c>
      <c r="AF26" s="651">
        <f>IF(ISNUMBER(Vic!L20),Vic!L20,"")</f>
        <v>0</v>
      </c>
      <c r="AG26" s="540" t="s">
        <v>757</v>
      </c>
      <c r="AH26" s="650">
        <f>IF(ISNUMBER(WA!L20),WA!L20,"")</f>
        <v>19.579999999999998</v>
      </c>
      <c r="AI26" s="532" t="s">
        <v>757</v>
      </c>
      <c r="AJ26" s="651">
        <f>IF(ISNUMBER(WA!M20),WA!M20,"")</f>
        <v>0.24</v>
      </c>
      <c r="AK26" s="534" t="s">
        <v>757</v>
      </c>
      <c r="AL26" s="652"/>
      <c r="AM26" s="647">
        <f>IF(ISNUMBER(ACT!K20),ACT!K20*1000000/AM$7,"")</f>
        <v>0</v>
      </c>
      <c r="AN26" s="653">
        <f>IF(ISNUMBER(ACT!L20),ACT!L20*1000000/AN$7,"")</f>
        <v>0</v>
      </c>
      <c r="AO26" s="654" t="str">
        <f>IF(ISNUMBER(NSW!K20),NSW!K20*1000000/AO$7,"")</f>
        <v/>
      </c>
      <c r="AP26" s="654" t="str">
        <f>IF(ISNUMBER(NSW!L20),NSW!L20*1000000/AP$7,"")</f>
        <v/>
      </c>
      <c r="AQ26" s="647" t="str">
        <f>IF(ISNUMBER(NT!K20),NT!K20*1000000/AQ$7,"")</f>
        <v/>
      </c>
      <c r="AR26" s="653" t="str">
        <f>IF(ISNUMBER(NT!L20),NT!L20*1000000/AR$7,"")</f>
        <v/>
      </c>
      <c r="AS26" s="654">
        <f>IF(ISNUMBER(Qld!K20),Qld!K20*1000000/AS$7,"")</f>
        <v>0</v>
      </c>
      <c r="AT26" s="654">
        <f>IF(ISNUMBER(Qld!L20),Qld!L20*1000000/AT$7,"")</f>
        <v>2.1101066300183346E-7</v>
      </c>
      <c r="AU26" s="647">
        <f>IF(ISNUMBER(SA!K20),SA!K20*1000000/AU$7,"")</f>
        <v>0</v>
      </c>
      <c r="AV26" s="653">
        <f>IF(ISNUMBER(SA!L20),SA!L20*1000000/AV$7,"")</f>
        <v>0</v>
      </c>
      <c r="AW26" s="654" t="str">
        <f>IF(ISNUMBER(TAS!K20),TAS!K20*1000000/AW$7,"")</f>
        <v/>
      </c>
      <c r="AX26" s="654" t="str">
        <f>IF(ISNUMBER(TAS!L20),TAS!L20*1000000/AX$7,"")</f>
        <v/>
      </c>
      <c r="AY26" s="647">
        <f>IF(ISNUMBER(Vic!K20),Vic!K20*1000000/AY$7,"")</f>
        <v>0</v>
      </c>
      <c r="AZ26" s="653">
        <f>IF(ISNUMBER(Vic!L20),Vic!L20*1000000/AZ$7,"")</f>
        <v>0</v>
      </c>
      <c r="BA26" s="647">
        <f>IF(ISNUMBER(WA!L20),WA!L20*1000000/BA$7,"")</f>
        <v>7.6591093918753197</v>
      </c>
      <c r="BB26" s="655">
        <f>IF(ISNUMBER(WA!M20),WA!M20*1000000/BB$7,"")</f>
        <v>9.3239767226921122E-2</v>
      </c>
      <c r="BD26" s="647">
        <v>0</v>
      </c>
      <c r="BE26" s="654">
        <v>0</v>
      </c>
      <c r="BF26" s="654">
        <v>0</v>
      </c>
      <c r="BG26" s="654">
        <v>0</v>
      </c>
      <c r="BH26" s="654">
        <v>0</v>
      </c>
      <c r="BI26" s="654" t="s">
        <v>855</v>
      </c>
      <c r="BJ26" s="654">
        <v>0</v>
      </c>
      <c r="BK26" s="653">
        <v>1.5343947259035697</v>
      </c>
      <c r="BM26" s="647">
        <f t="shared" si="0"/>
        <v>0</v>
      </c>
      <c r="BN26" s="654" t="str">
        <f t="shared" si="1"/>
        <v/>
      </c>
      <c r="BO26" s="654" t="str">
        <f t="shared" si="2"/>
        <v/>
      </c>
      <c r="BP26" s="654">
        <f t="shared" si="3"/>
        <v>1.0586804331823902E-7</v>
      </c>
      <c r="BQ26" s="654">
        <f t="shared" si="4"/>
        <v>0</v>
      </c>
      <c r="BR26" s="654" t="str">
        <f t="shared" si="5"/>
        <v/>
      </c>
      <c r="BS26" s="654">
        <f t="shared" si="6"/>
        <v>0</v>
      </c>
      <c r="BT26" s="653">
        <f t="shared" si="7"/>
        <v>3.8632149042908974</v>
      </c>
    </row>
    <row r="27" spans="2:72">
      <c r="B27" s="1034"/>
      <c r="C27" s="1038"/>
      <c r="D27" s="648" t="s">
        <v>142</v>
      </c>
      <c r="E27" s="649" t="s">
        <v>143</v>
      </c>
      <c r="F27" s="650">
        <f>IF(ISNUMBER(ACT!K21),ACT!K21,"")</f>
        <v>0</v>
      </c>
      <c r="G27" s="532" t="s">
        <v>757</v>
      </c>
      <c r="H27" s="651">
        <f>IF(ISNUMBER(ACT!L21),ACT!L21,"")</f>
        <v>0</v>
      </c>
      <c r="I27" s="534" t="s">
        <v>757</v>
      </c>
      <c r="J27" s="651" t="str">
        <f>IF(ISNUMBER(NSW!K21),NSW!K21,"")</f>
        <v/>
      </c>
      <c r="K27" s="532" t="s">
        <v>757</v>
      </c>
      <c r="L27" s="651" t="str">
        <f>IF(ISNUMBER(NSW!L21),NSW!L21,"")</f>
        <v/>
      </c>
      <c r="M27" s="534" t="s">
        <v>757</v>
      </c>
      <c r="N27" s="650" t="str">
        <f>IF(ISNUMBER(NT!K21),NT!K21,"")</f>
        <v/>
      </c>
      <c r="O27" s="532" t="s">
        <v>757</v>
      </c>
      <c r="P27" s="651" t="str">
        <f>IF(ISNUMBER(NT!L21),NT!L21,"")</f>
        <v/>
      </c>
      <c r="Q27" s="534" t="s">
        <v>757</v>
      </c>
      <c r="R27" s="650">
        <f>IF(ISNUMBER(Qld!K21),Qld!K21,"")</f>
        <v>0</v>
      </c>
      <c r="S27" s="532" t="s">
        <v>757</v>
      </c>
      <c r="T27" s="651">
        <f>IF(ISNUMBER(Qld!L21),Qld!L21,"")</f>
        <v>9.9999999999999995E-7</v>
      </c>
      <c r="U27" s="534" t="s">
        <v>757</v>
      </c>
      <c r="V27" s="650">
        <f>IF(ISNUMBER(SA!K21),SA!K21,"")</f>
        <v>0</v>
      </c>
      <c r="W27" s="532" t="s">
        <v>757</v>
      </c>
      <c r="X27" s="651">
        <f>IF(ISNUMBER(SA!L21),SA!L21,"")</f>
        <v>0</v>
      </c>
      <c r="Y27" s="534" t="s">
        <v>757</v>
      </c>
      <c r="Z27" s="650" t="str">
        <f>IF(ISNUMBER(TAS!K21),TAS!K21,"")</f>
        <v/>
      </c>
      <c r="AA27" s="532" t="s">
        <v>757</v>
      </c>
      <c r="AB27" s="651" t="str">
        <f>IF(ISNUMBER(TAS!L21),TAS!L21,"")</f>
        <v/>
      </c>
      <c r="AC27" s="534" t="s">
        <v>757</v>
      </c>
      <c r="AD27" s="650">
        <f>IF(ISNUMBER(Vic!K21),Vic!K21,"")</f>
        <v>0</v>
      </c>
      <c r="AE27" s="539" t="s">
        <v>757</v>
      </c>
      <c r="AF27" s="651">
        <f>IF(ISNUMBER(Vic!L21),Vic!L21,"")</f>
        <v>0</v>
      </c>
      <c r="AG27" s="540" t="s">
        <v>757</v>
      </c>
      <c r="AH27" s="650" t="str">
        <f>IF(ISNUMBER(WA!L21),WA!L21,"")</f>
        <v/>
      </c>
      <c r="AI27" s="532" t="s">
        <v>757</v>
      </c>
      <c r="AJ27" s="651" t="str">
        <f>IF(ISNUMBER(WA!M21),WA!M21,"")</f>
        <v/>
      </c>
      <c r="AK27" s="534" t="s">
        <v>757</v>
      </c>
      <c r="AL27" s="652"/>
      <c r="AM27" s="647">
        <f>IF(ISNUMBER(ACT!K21),ACT!K21*1000000/AM$7,"")</f>
        <v>0</v>
      </c>
      <c r="AN27" s="653">
        <f>IF(ISNUMBER(ACT!L21),ACT!L21*1000000/AN$7,"")</f>
        <v>0</v>
      </c>
      <c r="AO27" s="654" t="str">
        <f>IF(ISNUMBER(NSW!K21),NSW!K21*1000000/AO$7,"")</f>
        <v/>
      </c>
      <c r="AP27" s="654" t="str">
        <f>IF(ISNUMBER(NSW!L21),NSW!L21*1000000/AP$7,"")</f>
        <v/>
      </c>
      <c r="AQ27" s="647" t="str">
        <f>IF(ISNUMBER(NT!K21),NT!K21*1000000/AQ$7,"")</f>
        <v/>
      </c>
      <c r="AR27" s="653" t="str">
        <f>IF(ISNUMBER(NT!L21),NT!L21*1000000/AR$7,"")</f>
        <v/>
      </c>
      <c r="AS27" s="654">
        <f>IF(ISNUMBER(Qld!K21),Qld!K21*1000000/AS$7,"")</f>
        <v>0</v>
      </c>
      <c r="AT27" s="654">
        <f>IF(ISNUMBER(Qld!L21),Qld!L21*1000000/AT$7,"")</f>
        <v>2.1101066300183346E-7</v>
      </c>
      <c r="AU27" s="647">
        <f>IF(ISNUMBER(SA!K21),SA!K21*1000000/AU$7,"")</f>
        <v>0</v>
      </c>
      <c r="AV27" s="653">
        <f>IF(ISNUMBER(SA!L21),SA!L21*1000000/AV$7,"")</f>
        <v>0</v>
      </c>
      <c r="AW27" s="654" t="str">
        <f>IF(ISNUMBER(TAS!K21),TAS!K21*1000000/AW$7,"")</f>
        <v/>
      </c>
      <c r="AX27" s="654" t="str">
        <f>IF(ISNUMBER(TAS!L21),TAS!L21*1000000/AX$7,"")</f>
        <v/>
      </c>
      <c r="AY27" s="647">
        <f>IF(ISNUMBER(Vic!K21),Vic!K21*1000000/AY$7,"")</f>
        <v>0</v>
      </c>
      <c r="AZ27" s="653">
        <f>IF(ISNUMBER(Vic!L21),Vic!L21*1000000/AZ$7,"")</f>
        <v>0</v>
      </c>
      <c r="BA27" s="647" t="str">
        <f>IF(ISNUMBER(WA!L21),WA!L21*1000000/BA$7,"")</f>
        <v/>
      </c>
      <c r="BB27" s="655" t="str">
        <f>IF(ISNUMBER(WA!M21),WA!M21*1000000/BB$7,"")</f>
        <v/>
      </c>
      <c r="BD27" s="647">
        <v>0</v>
      </c>
      <c r="BE27" s="654">
        <v>0</v>
      </c>
      <c r="BF27" s="654">
        <v>0</v>
      </c>
      <c r="BG27" s="654">
        <v>0</v>
      </c>
      <c r="BH27" s="654">
        <v>0</v>
      </c>
      <c r="BI27" s="654" t="s">
        <v>855</v>
      </c>
      <c r="BJ27" s="654">
        <v>0</v>
      </c>
      <c r="BK27" s="653">
        <v>7.9922794580435302E-2</v>
      </c>
      <c r="BM27" s="647">
        <f t="shared" si="0"/>
        <v>0</v>
      </c>
      <c r="BN27" s="654" t="str">
        <f t="shared" si="1"/>
        <v/>
      </c>
      <c r="BO27" s="654" t="str">
        <f t="shared" si="2"/>
        <v/>
      </c>
      <c r="BP27" s="654">
        <f t="shared" si="3"/>
        <v>1.0586804331823902E-7</v>
      </c>
      <c r="BQ27" s="654">
        <f t="shared" si="4"/>
        <v>0</v>
      </c>
      <c r="BR27" s="654" t="str">
        <f t="shared" si="5"/>
        <v/>
      </c>
      <c r="BS27" s="654">
        <f t="shared" si="6"/>
        <v>0</v>
      </c>
      <c r="BT27" s="653" t="str">
        <f t="shared" si="7"/>
        <v/>
      </c>
    </row>
    <row r="28" spans="2:72">
      <c r="B28" s="1034"/>
      <c r="C28" s="1038"/>
      <c r="D28" s="648" t="s">
        <v>20</v>
      </c>
      <c r="E28" s="649" t="s">
        <v>91</v>
      </c>
      <c r="F28" s="650">
        <f>IF(ISNUMBER(ACT!K22),ACT!K22,"")</f>
        <v>0</v>
      </c>
      <c r="G28" s="532" t="s">
        <v>757</v>
      </c>
      <c r="H28" s="651">
        <f>IF(ISNUMBER(ACT!L22),ACT!L22,"")</f>
        <v>0</v>
      </c>
      <c r="I28" s="534" t="s">
        <v>757</v>
      </c>
      <c r="J28" s="651">
        <f>IF(ISNUMBER(NSW!K22),NSW!K22,"")</f>
        <v>7.7198400000000005</v>
      </c>
      <c r="K28" s="532" t="s">
        <v>757</v>
      </c>
      <c r="L28" s="651">
        <f>IF(ISNUMBER(NSW!L22),NSW!L22,"")</f>
        <v>4.6000000000000001E-4</v>
      </c>
      <c r="M28" s="534" t="s">
        <v>757</v>
      </c>
      <c r="N28" s="650" t="str">
        <f>IF(ISNUMBER(NT!K22),NT!K22,"")</f>
        <v/>
      </c>
      <c r="O28" s="532" t="s">
        <v>757</v>
      </c>
      <c r="P28" s="651" t="str">
        <f>IF(ISNUMBER(NT!L22),NT!L22,"")</f>
        <v/>
      </c>
      <c r="Q28" s="534" t="s">
        <v>757</v>
      </c>
      <c r="R28" s="650">
        <f>IF(ISNUMBER(Qld!K22),Qld!K22,"")</f>
        <v>1091.3820000000001</v>
      </c>
      <c r="S28" s="532" t="s">
        <v>757</v>
      </c>
      <c r="T28" s="651">
        <f>IF(ISNUMBER(Qld!L22),Qld!L22,"")</f>
        <v>321.894001</v>
      </c>
      <c r="U28" s="534" t="s">
        <v>757</v>
      </c>
      <c r="V28" s="650">
        <f>IF(ISNUMBER(SA!K22),SA!K22,"")</f>
        <v>21.35</v>
      </c>
      <c r="W28" s="532" t="s">
        <v>757</v>
      </c>
      <c r="X28" s="651">
        <f>IF(ISNUMBER(SA!L22),SA!L22,"")</f>
        <v>9.65</v>
      </c>
      <c r="Y28" s="534" t="s">
        <v>757</v>
      </c>
      <c r="Z28" s="650" t="str">
        <f>IF(ISNUMBER(TAS!K22),TAS!K22,"")</f>
        <v/>
      </c>
      <c r="AA28" s="532" t="s">
        <v>757</v>
      </c>
      <c r="AB28" s="651" t="str">
        <f>IF(ISNUMBER(TAS!L22),TAS!L22,"")</f>
        <v/>
      </c>
      <c r="AC28" s="534" t="s">
        <v>757</v>
      </c>
      <c r="AD28" s="650">
        <f>IF(ISNUMBER(Vic!K22),Vic!K22,"")</f>
        <v>61.3</v>
      </c>
      <c r="AE28" s="539" t="s">
        <v>757</v>
      </c>
      <c r="AF28" s="651">
        <f>IF(ISNUMBER(Vic!L22),Vic!L22,"")</f>
        <v>38.510000000000005</v>
      </c>
      <c r="AG28" s="540" t="s">
        <v>757</v>
      </c>
      <c r="AH28" s="650">
        <f>IF(ISNUMBER(WA!L22),WA!L22,"")</f>
        <v>9.4E-2</v>
      </c>
      <c r="AI28" s="532" t="s">
        <v>757</v>
      </c>
      <c r="AJ28" s="651">
        <f>IF(ISNUMBER(WA!M22),WA!M22,"")</f>
        <v>0.311</v>
      </c>
      <c r="AK28" s="534" t="s">
        <v>757</v>
      </c>
      <c r="AL28" s="652"/>
      <c r="AM28" s="647">
        <f>IF(ISNUMBER(ACT!K22),ACT!K22*1000000/AM$7,"")</f>
        <v>0</v>
      </c>
      <c r="AN28" s="653">
        <f>IF(ISNUMBER(ACT!L22),ACT!L22*1000000/AN$7,"")</f>
        <v>0</v>
      </c>
      <c r="AO28" s="654">
        <f>IF(ISNUMBER(NSW!K22),NSW!K22*1000000/AO$7,"")</f>
        <v>1.0296180024703343</v>
      </c>
      <c r="AP28" s="654">
        <f>IF(ISNUMBER(NSW!L22),NSW!L22*1000000/AP$7,"")</f>
        <v>6.0973144643542383E-5</v>
      </c>
      <c r="AQ28" s="647" t="str">
        <f>IF(ISNUMBER(NT!K22),NT!K22*1000000/AQ$7,"")</f>
        <v/>
      </c>
      <c r="AR28" s="653" t="str">
        <f>IF(ISNUMBER(NT!L22),NT!L22*1000000/AR$7,"")</f>
        <v/>
      </c>
      <c r="AS28" s="654">
        <f>IF(ISNUMBER(Qld!K22),Qld!K22*1000000/AS$7,"")</f>
        <v>231.88213037625269</v>
      </c>
      <c r="AT28" s="654">
        <f>IF(ISNUMBER(Qld!L22),Qld!L22*1000000/AT$7,"")</f>
        <v>67.923066567322849</v>
      </c>
      <c r="AU28" s="647">
        <f>IF(ISNUMBER(SA!K22),SA!K22*1000000/AU$7,"")</f>
        <v>12.691758501100349</v>
      </c>
      <c r="AV28" s="653">
        <f>IF(ISNUMBER(SA!L22),SA!L22*1000000/AV$7,"")</f>
        <v>5.7148677763182985</v>
      </c>
      <c r="AW28" s="654" t="str">
        <f>IF(ISNUMBER(TAS!K22),TAS!K22*1000000/AW$7,"")</f>
        <v/>
      </c>
      <c r="AX28" s="654" t="str">
        <f>IF(ISNUMBER(TAS!L22),TAS!L22*1000000/AX$7,"")</f>
        <v/>
      </c>
      <c r="AY28" s="647">
        <f>IF(ISNUMBER(Vic!K22),Vic!K22*1000000/AY$7,"")</f>
        <v>10.537293682625997</v>
      </c>
      <c r="AZ28" s="653">
        <f>IF(ISNUMBER(Vic!L22),Vic!L22*1000000/AZ$7,"")</f>
        <v>6.5651475393738385</v>
      </c>
      <c r="BA28" s="647">
        <f>IF(ISNUMBER(WA!L22),WA!L22*1000000/BA$7,"")</f>
        <v>3.6769983801648629E-2</v>
      </c>
      <c r="BB28" s="655">
        <f>IF(ISNUMBER(WA!M22),WA!M22*1000000/BB$7,"")</f>
        <v>0.12082319836488528</v>
      </c>
      <c r="BD28" s="647">
        <v>0</v>
      </c>
      <c r="BE28" s="654">
        <v>1.1761934125293636</v>
      </c>
      <c r="BF28" s="654">
        <v>0</v>
      </c>
      <c r="BG28" s="654">
        <v>89.633280088170054</v>
      </c>
      <c r="BH28" s="654">
        <v>31.697973491464897</v>
      </c>
      <c r="BI28" s="654" t="s">
        <v>855</v>
      </c>
      <c r="BJ28" s="654">
        <v>52.686980845786231</v>
      </c>
      <c r="BK28" s="653">
        <v>2.5547992423148109</v>
      </c>
      <c r="BM28" s="647">
        <f t="shared" si="0"/>
        <v>0</v>
      </c>
      <c r="BN28" s="654">
        <f t="shared" si="1"/>
        <v>0.51324697468620695</v>
      </c>
      <c r="BO28" s="654" t="str">
        <f t="shared" si="2"/>
        <v/>
      </c>
      <c r="BP28" s="654">
        <f t="shared" si="3"/>
        <v>149.62076489449561</v>
      </c>
      <c r="BQ28" s="654">
        <f t="shared" si="4"/>
        <v>9.1967062738150194</v>
      </c>
      <c r="BR28" s="654" t="str">
        <f t="shared" si="5"/>
        <v/>
      </c>
      <c r="BS28" s="654">
        <f t="shared" si="6"/>
        <v>8.5429944749139732</v>
      </c>
      <c r="BT28" s="653">
        <f t="shared" si="7"/>
        <v>7.894056691411773E-2</v>
      </c>
    </row>
    <row r="29" spans="2:72">
      <c r="B29" s="1034"/>
      <c r="C29" s="1038"/>
      <c r="D29" s="648" t="s">
        <v>21</v>
      </c>
      <c r="E29" s="649" t="s">
        <v>144</v>
      </c>
      <c r="F29" s="650">
        <f>IF(ISNUMBER(ACT!K23),ACT!K23,"")</f>
        <v>0</v>
      </c>
      <c r="G29" s="532" t="s">
        <v>757</v>
      </c>
      <c r="H29" s="651">
        <f>IF(ISNUMBER(ACT!L23),ACT!L23,"")</f>
        <v>0</v>
      </c>
      <c r="I29" s="534" t="s">
        <v>757</v>
      </c>
      <c r="J29" s="651">
        <f>IF(ISNUMBER(NSW!K23),NSW!K23,"")</f>
        <v>10.119999999999999</v>
      </c>
      <c r="K29" s="532" t="s">
        <v>757</v>
      </c>
      <c r="L29" s="651" t="str">
        <f>IF(ISNUMBER(NSW!L23),NSW!L23,"")</f>
        <v/>
      </c>
      <c r="M29" s="534" t="s">
        <v>757</v>
      </c>
      <c r="N29" s="650" t="str">
        <f>IF(ISNUMBER(NT!K23),NT!K23,"")</f>
        <v/>
      </c>
      <c r="O29" s="532" t="s">
        <v>757</v>
      </c>
      <c r="P29" s="651" t="str">
        <f>IF(ISNUMBER(NT!L23),NT!L23,"")</f>
        <v/>
      </c>
      <c r="Q29" s="534" t="s">
        <v>757</v>
      </c>
      <c r="R29" s="650" t="str">
        <f>IF(ISNUMBER(Qld!K23),Qld!K23,"")</f>
        <v/>
      </c>
      <c r="S29" s="532" t="s">
        <v>757</v>
      </c>
      <c r="T29" s="651" t="str">
        <f>IF(ISNUMBER(Qld!L23),Qld!L23,"")</f>
        <v/>
      </c>
      <c r="U29" s="534" t="s">
        <v>757</v>
      </c>
      <c r="V29" s="650">
        <f>IF(ISNUMBER(SA!K23),SA!K23,"")</f>
        <v>0</v>
      </c>
      <c r="W29" s="532" t="s">
        <v>757</v>
      </c>
      <c r="X29" s="651">
        <f>IF(ISNUMBER(SA!L23),SA!L23,"")</f>
        <v>0</v>
      </c>
      <c r="Y29" s="534" t="s">
        <v>757</v>
      </c>
      <c r="Z29" s="650" t="str">
        <f>IF(ISNUMBER(TAS!K23),TAS!K23,"")</f>
        <v/>
      </c>
      <c r="AA29" s="532" t="s">
        <v>757</v>
      </c>
      <c r="AB29" s="651" t="str">
        <f>IF(ISNUMBER(TAS!L23),TAS!L23,"")</f>
        <v/>
      </c>
      <c r="AC29" s="534" t="s">
        <v>757</v>
      </c>
      <c r="AD29" s="650">
        <f>IF(ISNUMBER(Vic!K23),Vic!K23,"")</f>
        <v>0</v>
      </c>
      <c r="AE29" s="539" t="s">
        <v>757</v>
      </c>
      <c r="AF29" s="651">
        <f>IF(ISNUMBER(Vic!L23),Vic!L23,"")</f>
        <v>0</v>
      </c>
      <c r="AG29" s="540" t="s">
        <v>757</v>
      </c>
      <c r="AH29" s="650">
        <f>IF(ISNUMBER(WA!L23),WA!L23,"")</f>
        <v>4.4999999999999998E-2</v>
      </c>
      <c r="AI29" s="532" t="s">
        <v>757</v>
      </c>
      <c r="AJ29" s="651">
        <f>IF(ISNUMBER(WA!M23),WA!M23,"")</f>
        <v>7.4999999999999997E-2</v>
      </c>
      <c r="AK29" s="534" t="s">
        <v>757</v>
      </c>
      <c r="AL29" s="652"/>
      <c r="AM29" s="647">
        <f>IF(ISNUMBER(ACT!K23),ACT!K23*1000000/AM$7,"")</f>
        <v>0</v>
      </c>
      <c r="AN29" s="653">
        <f>IF(ISNUMBER(ACT!L23),ACT!L23*1000000/AN$7,"")</f>
        <v>0</v>
      </c>
      <c r="AO29" s="654">
        <f>IF(ISNUMBER(NSW!K23),NSW!K23*1000000/AO$7,"")</f>
        <v>1.3497344744191306</v>
      </c>
      <c r="AP29" s="654" t="str">
        <f>IF(ISNUMBER(NSW!L23),NSW!L23*1000000/AP$7,"")</f>
        <v/>
      </c>
      <c r="AQ29" s="647" t="str">
        <f>IF(ISNUMBER(NT!K23),NT!K23*1000000/AQ$7,"")</f>
        <v/>
      </c>
      <c r="AR29" s="653" t="str">
        <f>IF(ISNUMBER(NT!L23),NT!L23*1000000/AR$7,"")</f>
        <v/>
      </c>
      <c r="AS29" s="654" t="str">
        <f>IF(ISNUMBER(Qld!K23),Qld!K23*1000000/AS$7,"")</f>
        <v/>
      </c>
      <c r="AT29" s="654" t="str">
        <f>IF(ISNUMBER(Qld!L23),Qld!L23*1000000/AT$7,"")</f>
        <v/>
      </c>
      <c r="AU29" s="647">
        <f>IF(ISNUMBER(SA!K23),SA!K23*1000000/AU$7,"")</f>
        <v>0</v>
      </c>
      <c r="AV29" s="653">
        <f>IF(ISNUMBER(SA!L23),SA!L23*1000000/AV$7,"")</f>
        <v>0</v>
      </c>
      <c r="AW29" s="654" t="str">
        <f>IF(ISNUMBER(TAS!K23),TAS!K23*1000000/AW$7,"")</f>
        <v/>
      </c>
      <c r="AX29" s="654" t="str">
        <f>IF(ISNUMBER(TAS!L23),TAS!L23*1000000/AX$7,"")</f>
        <v/>
      </c>
      <c r="AY29" s="647">
        <f>IF(ISNUMBER(Vic!K23),Vic!K23*1000000/AY$7,"")</f>
        <v>0</v>
      </c>
      <c r="AZ29" s="653">
        <f>IF(ISNUMBER(Vic!L23),Vic!L23*1000000/AZ$7,"")</f>
        <v>0</v>
      </c>
      <c r="BA29" s="647">
        <f>IF(ISNUMBER(WA!L23),WA!L23*1000000/BA$7,"")</f>
        <v>1.7602651819938173E-2</v>
      </c>
      <c r="BB29" s="655">
        <f>IF(ISNUMBER(WA!M23),WA!M23*1000000/BB$7,"")</f>
        <v>2.9137427258412851E-2</v>
      </c>
      <c r="BD29" s="647">
        <v>0</v>
      </c>
      <c r="BE29" s="654">
        <v>0</v>
      </c>
      <c r="BF29" s="654">
        <v>0</v>
      </c>
      <c r="BG29" s="654" t="s">
        <v>855</v>
      </c>
      <c r="BH29" s="654">
        <v>0</v>
      </c>
      <c r="BI29" s="654" t="s">
        <v>855</v>
      </c>
      <c r="BJ29" s="654">
        <v>0.34673222217213867</v>
      </c>
      <c r="BK29" s="653">
        <v>1.0335559972272852</v>
      </c>
      <c r="BM29" s="647">
        <f t="shared" si="0"/>
        <v>0</v>
      </c>
      <c r="BN29" s="654">
        <f t="shared" si="1"/>
        <v>0.67277947538624328</v>
      </c>
      <c r="BO29" s="654" t="str">
        <f t="shared" si="2"/>
        <v/>
      </c>
      <c r="BP29" s="654" t="str">
        <f t="shared" si="3"/>
        <v/>
      </c>
      <c r="BQ29" s="654">
        <f t="shared" si="4"/>
        <v>0</v>
      </c>
      <c r="BR29" s="654" t="str">
        <f t="shared" si="5"/>
        <v/>
      </c>
      <c r="BS29" s="654">
        <f t="shared" si="6"/>
        <v>0</v>
      </c>
      <c r="BT29" s="653">
        <f t="shared" si="7"/>
        <v>2.338979760418303E-2</v>
      </c>
    </row>
    <row r="30" spans="2:72">
      <c r="B30" s="1034"/>
      <c r="C30" s="1038"/>
      <c r="D30" s="648" t="s">
        <v>22</v>
      </c>
      <c r="E30" s="649" t="s">
        <v>92</v>
      </c>
      <c r="F30" s="650">
        <f>IF(ISNUMBER(ACT!K24),ACT!K24,"")</f>
        <v>0</v>
      </c>
      <c r="G30" s="532" t="s">
        <v>757</v>
      </c>
      <c r="H30" s="651">
        <f>IF(ISNUMBER(ACT!L24),ACT!L24,"")</f>
        <v>0</v>
      </c>
      <c r="I30" s="534" t="s">
        <v>757</v>
      </c>
      <c r="J30" s="651">
        <f>IF(ISNUMBER(NSW!K24),NSW!K24,"")</f>
        <v>16.669</v>
      </c>
      <c r="K30" s="532" t="s">
        <v>757</v>
      </c>
      <c r="L30" s="651">
        <f>IF(ISNUMBER(NSW!L24),NSW!L24,"")</f>
        <v>1.4665000000000001</v>
      </c>
      <c r="M30" s="534" t="s">
        <v>757</v>
      </c>
      <c r="N30" s="650" t="str">
        <f>IF(ISNUMBER(NT!K24),NT!K24,"")</f>
        <v/>
      </c>
      <c r="O30" s="532" t="s">
        <v>757</v>
      </c>
      <c r="P30" s="651">
        <f>IF(ISNUMBER(NT!L24),NT!L24,"")</f>
        <v>4.92</v>
      </c>
      <c r="Q30" s="534" t="s">
        <v>757</v>
      </c>
      <c r="R30" s="650">
        <f>IF(ISNUMBER(Qld!K24),Qld!K24,"")</f>
        <v>74.72699999999999</v>
      </c>
      <c r="S30" s="532" t="s">
        <v>757</v>
      </c>
      <c r="T30" s="651">
        <f>IF(ISNUMBER(Qld!L24),Qld!L24,"")</f>
        <v>106.364001</v>
      </c>
      <c r="U30" s="534" t="s">
        <v>757</v>
      </c>
      <c r="V30" s="650">
        <f>IF(ISNUMBER(SA!K24),SA!K24,"")</f>
        <v>3.13</v>
      </c>
      <c r="W30" s="532" t="s">
        <v>757</v>
      </c>
      <c r="X30" s="651">
        <f>IF(ISNUMBER(SA!L24),SA!L24,"")</f>
        <v>3.79</v>
      </c>
      <c r="Y30" s="534" t="s">
        <v>757</v>
      </c>
      <c r="Z30" s="650" t="str">
        <f>IF(ISNUMBER(TAS!K24),TAS!K24,"")</f>
        <v/>
      </c>
      <c r="AA30" s="532" t="s">
        <v>757</v>
      </c>
      <c r="AB30" s="651" t="str">
        <f>IF(ISNUMBER(TAS!L24),TAS!L24,"")</f>
        <v/>
      </c>
      <c r="AC30" s="534" t="s">
        <v>757</v>
      </c>
      <c r="AD30" s="650">
        <f>IF(ISNUMBER(Vic!K24),Vic!K24,"")</f>
        <v>38.76</v>
      </c>
      <c r="AE30" s="539" t="s">
        <v>757</v>
      </c>
      <c r="AF30" s="651">
        <f>IF(ISNUMBER(Vic!L24),Vic!L24,"")</f>
        <v>16.2</v>
      </c>
      <c r="AG30" s="540" t="s">
        <v>757</v>
      </c>
      <c r="AH30" s="650" t="str">
        <f>IF(ISNUMBER(WA!L24),WA!L24,"")</f>
        <v/>
      </c>
      <c r="AI30" s="532" t="s">
        <v>757</v>
      </c>
      <c r="AJ30" s="651">
        <f>IF(ISNUMBER(WA!M24),WA!M24,"")</f>
        <v>2.7070000000000003</v>
      </c>
      <c r="AK30" s="534" t="s">
        <v>757</v>
      </c>
      <c r="AL30" s="652"/>
      <c r="AM30" s="647">
        <f>IF(ISNUMBER(ACT!K24),ACT!K24*1000000/AM$7,"")</f>
        <v>0</v>
      </c>
      <c r="AN30" s="653">
        <f>IF(ISNUMBER(ACT!L24),ACT!L24*1000000/AN$7,"")</f>
        <v>0</v>
      </c>
      <c r="AO30" s="654">
        <f>IF(ISNUMBER(NSW!K24),NSW!K24*1000000/AO$7,"")</f>
        <v>2.2231940666099299</v>
      </c>
      <c r="AP30" s="654">
        <f>IF(ISNUMBER(NSW!L24),NSW!L24*1000000/AP$7,"")</f>
        <v>0.19438503612990199</v>
      </c>
      <c r="AQ30" s="647" t="str">
        <f>IF(ISNUMBER(NT!K24),NT!K24*1000000/AQ$7,"")</f>
        <v/>
      </c>
      <c r="AR30" s="653">
        <f>IF(ISNUMBER(NT!L24),NT!L24*1000000/AR$7,"")</f>
        <v>20.089668520469413</v>
      </c>
      <c r="AS30" s="654">
        <f>IF(ISNUMBER(Qld!K24),Qld!K24*1000000/AS$7,"")</f>
        <v>15.876985287118748</v>
      </c>
      <c r="AT30" s="654">
        <f>IF(ISNUMBER(Qld!L24),Qld!L24*1000000/AT$7,"")</f>
        <v>22.44393837053768</v>
      </c>
      <c r="AU30" s="647">
        <f>IF(ISNUMBER(SA!K24),SA!K24*1000000/AU$7,"")</f>
        <v>1.8606652978193954</v>
      </c>
      <c r="AV30" s="653">
        <f>IF(ISNUMBER(SA!L24),SA!L24*1000000/AV$7,"")</f>
        <v>2.2444921111136114</v>
      </c>
      <c r="AW30" s="654" t="str">
        <f>IF(ISNUMBER(TAS!K24),TAS!K24*1000000/AW$7,"")</f>
        <v/>
      </c>
      <c r="AX30" s="654" t="str">
        <f>IF(ISNUMBER(TAS!L24),TAS!L24*1000000/AX$7,"")</f>
        <v/>
      </c>
      <c r="AY30" s="647">
        <f>IF(ISNUMBER(Vic!K24),Vic!K24*1000000/AY$7,"")</f>
        <v>6.6627325144956551</v>
      </c>
      <c r="AZ30" s="653">
        <f>IF(ISNUMBER(Vic!L24),Vic!L24*1000000/AZ$7,"")</f>
        <v>2.7617603255740368</v>
      </c>
      <c r="BA30" s="647" t="str">
        <f>IF(ISNUMBER(WA!L24),WA!L24*1000000/BA$7,"")</f>
        <v/>
      </c>
      <c r="BB30" s="655">
        <f>IF(ISNUMBER(WA!M24),WA!M24*1000000/BB$7,"")</f>
        <v>1.0516668745136479</v>
      </c>
      <c r="BD30" s="647">
        <v>0</v>
      </c>
      <c r="BE30" s="654">
        <v>0.2024762666672896</v>
      </c>
      <c r="BF30" s="654">
        <v>0</v>
      </c>
      <c r="BG30" s="654">
        <v>27.382004418343119</v>
      </c>
      <c r="BH30" s="654">
        <v>485.22144689186081</v>
      </c>
      <c r="BI30" s="654" t="s">
        <v>855</v>
      </c>
      <c r="BJ30" s="654">
        <v>13.779156916291052</v>
      </c>
      <c r="BK30" s="653">
        <v>37.131283211692818</v>
      </c>
      <c r="BM30" s="647">
        <f t="shared" si="0"/>
        <v>0</v>
      </c>
      <c r="BN30" s="654">
        <f t="shared" si="1"/>
        <v>1.2056514007773926</v>
      </c>
      <c r="BO30" s="654">
        <f t="shared" si="2"/>
        <v>10.067587891883928</v>
      </c>
      <c r="BP30" s="654">
        <f t="shared" si="3"/>
        <v>19.171749938411267</v>
      </c>
      <c r="BQ30" s="654">
        <f t="shared" si="4"/>
        <v>2.0529421746709655</v>
      </c>
      <c r="BR30" s="654" t="str">
        <f t="shared" si="5"/>
        <v/>
      </c>
      <c r="BS30" s="654">
        <f t="shared" si="6"/>
        <v>4.7041676820085359</v>
      </c>
      <c r="BT30" s="653">
        <f t="shared" si="7"/>
        <v>0.52763485095436236</v>
      </c>
    </row>
    <row r="31" spans="2:72">
      <c r="B31" s="1034"/>
      <c r="C31" s="1038"/>
      <c r="D31" s="648" t="s">
        <v>23</v>
      </c>
      <c r="E31" s="649" t="s">
        <v>93</v>
      </c>
      <c r="F31" s="650">
        <f>IF(ISNUMBER(ACT!K25),ACT!K25,"")</f>
        <v>94.81</v>
      </c>
      <c r="G31" s="532" t="s">
        <v>757</v>
      </c>
      <c r="H31" s="651">
        <f>IF(ISNUMBER(ACT!L25),ACT!L25,"")</f>
        <v>672.3</v>
      </c>
      <c r="I31" s="534" t="s">
        <v>757</v>
      </c>
      <c r="J31" s="651">
        <f>IF(ISNUMBER(NSW!K25),NSW!K25,"")</f>
        <v>32449.010898999994</v>
      </c>
      <c r="K31" s="532" t="s">
        <v>757</v>
      </c>
      <c r="L31" s="651">
        <f>IF(ISNUMBER(NSW!L25),NSW!L25,"")</f>
        <v>34995.267499999994</v>
      </c>
      <c r="M31" s="534" t="s">
        <v>757</v>
      </c>
      <c r="N31" s="650">
        <f>IF(ISNUMBER(NT!K25),NT!K25,"")</f>
        <v>194</v>
      </c>
      <c r="O31" s="532" t="s">
        <v>757</v>
      </c>
      <c r="P31" s="651">
        <f>IF(ISNUMBER(NT!L25),NT!L25,"")</f>
        <v>126.18227</v>
      </c>
      <c r="Q31" s="534" t="s">
        <v>757</v>
      </c>
      <c r="R31" s="650">
        <f>IF(ISNUMBER(Qld!K25),Qld!K25,"")</f>
        <v>6630.9249999999993</v>
      </c>
      <c r="S31" s="532" t="s">
        <v>757</v>
      </c>
      <c r="T31" s="651">
        <f>IF(ISNUMBER(Qld!L25),Qld!L25,"")</f>
        <v>3668.0350010000034</v>
      </c>
      <c r="U31" s="534" t="s">
        <v>757</v>
      </c>
      <c r="V31" s="650">
        <f>IF(ISNUMBER(SA!K25),SA!K25,"")</f>
        <v>63422.76</v>
      </c>
      <c r="W31" s="532" t="s">
        <v>757</v>
      </c>
      <c r="X31" s="651">
        <f>IF(ISNUMBER(SA!L25),SA!L25,"")</f>
        <v>38836.07</v>
      </c>
      <c r="Y31" s="534" t="s">
        <v>757</v>
      </c>
      <c r="Z31" s="650">
        <f>IF(ISNUMBER(TAS!K25),TAS!K25,"")</f>
        <v>85765.534</v>
      </c>
      <c r="AA31" s="532" t="s">
        <v>757</v>
      </c>
      <c r="AB31" s="651">
        <f>IF(ISNUMBER(TAS!L25),TAS!L25,"")</f>
        <v>60062.54</v>
      </c>
      <c r="AC31" s="534" t="s">
        <v>757</v>
      </c>
      <c r="AD31" s="650">
        <f>IF(ISNUMBER(Vic!K25),Vic!K25,"")</f>
        <v>3557.8520000000012</v>
      </c>
      <c r="AE31" s="539" t="s">
        <v>757</v>
      </c>
      <c r="AF31" s="651">
        <f>IF(ISNUMBER(Vic!L25),Vic!L25,"")</f>
        <v>3663</v>
      </c>
      <c r="AG31" s="540" t="s">
        <v>757</v>
      </c>
      <c r="AH31" s="650">
        <f>IF(ISNUMBER(WA!L25),WA!L25,"")</f>
        <v>449.29300000000001</v>
      </c>
      <c r="AI31" s="532" t="s">
        <v>757</v>
      </c>
      <c r="AJ31" s="651">
        <f>IF(ISNUMBER(WA!M25),WA!M25,"")</f>
        <v>591.15300000000002</v>
      </c>
      <c r="AK31" s="534" t="s">
        <v>757</v>
      </c>
      <c r="AL31" s="652"/>
      <c r="AM31" s="647">
        <f>IF(ISNUMBER(ACT!K25),ACT!K25*1000000/AM$7,"")</f>
        <v>246.29684471946422</v>
      </c>
      <c r="AN31" s="653">
        <f>IF(ISNUMBER(ACT!L25),ACT!L25*1000000/AN$7,"")</f>
        <v>1738.8268156424581</v>
      </c>
      <c r="AO31" s="654">
        <f>IF(ISNUMBER(NSW!K25),NSW!K25*1000000/AO$7,"")</f>
        <v>4327.8210149389724</v>
      </c>
      <c r="AP31" s="654">
        <f>IF(ISNUMBER(NSW!L25),NSW!L25*1000000/AP$7,"")</f>
        <v>4638.6337111238199</v>
      </c>
      <c r="AQ31" s="647">
        <f>IF(ISNUMBER(NT!K25),NT!K25*1000000/AQ$7,"")</f>
        <v>795.75052810763145</v>
      </c>
      <c r="AR31" s="653">
        <f>IF(ISNUMBER(NT!L25),NT!L25*1000000/AR$7,"")</f>
        <v>515.23576777649839</v>
      </c>
      <c r="AS31" s="654">
        <f>IF(ISNUMBER(Qld!K25),Qld!K25*1000000/AS$7,"")</f>
        <v>1408.8495278144162</v>
      </c>
      <c r="AT31" s="654">
        <f>IF(ISNUMBER(Qld!L25),Qld!L25*1000000/AT$7,"")</f>
        <v>773.99449747494157</v>
      </c>
      <c r="AU31" s="647">
        <f>IF(ISNUMBER(SA!K25),SA!K25*1000000/AU$7,"")</f>
        <v>37702.40531115912</v>
      </c>
      <c r="AV31" s="653">
        <f>IF(ISNUMBER(SA!L25),SA!L25*1000000/AV$7,"")</f>
        <v>22999.275129724538</v>
      </c>
      <c r="AW31" s="654">
        <f>IF(ISNUMBER(TAS!K25),TAS!K25*1000000/AW$7,"")</f>
        <v>166685.84388981099</v>
      </c>
      <c r="AX31" s="654">
        <f>IF(ISNUMBER(TAS!L25),TAS!L25*1000000/AX$7,"")</f>
        <v>116629.914715797</v>
      </c>
      <c r="AY31" s="647">
        <f>IF(ISNUMBER(Vic!K25),Vic!K25*1000000/AY$7,"")</f>
        <v>611.58452533961315</v>
      </c>
      <c r="AZ31" s="653">
        <f>IF(ISNUMBER(Vic!L25),Vic!L25*1000000/AZ$7,"")</f>
        <v>624.4646958381295</v>
      </c>
      <c r="BA31" s="647">
        <f>IF(ISNUMBER(WA!L25),WA!L25*1000000/BA$7,"")</f>
        <v>175.74996098078847</v>
      </c>
      <c r="BB31" s="655">
        <f>IF(ISNUMBER(WA!M25),WA!M25*1000000/BB$7,"")</f>
        <v>229.66236714790043</v>
      </c>
      <c r="BD31" s="647">
        <v>431.11400879616849</v>
      </c>
      <c r="BE31" s="654">
        <v>5374.3880903218978</v>
      </c>
      <c r="BF31" s="654">
        <v>4042.5669099585652</v>
      </c>
      <c r="BG31" s="654">
        <v>2910.4075789965477</v>
      </c>
      <c r="BH31" s="654">
        <v>39680.864468470725</v>
      </c>
      <c r="BI31" s="654">
        <v>20282.98792364628</v>
      </c>
      <c r="BJ31" s="654">
        <v>221.79331674617038</v>
      </c>
      <c r="BK31" s="653">
        <v>177.875038554654</v>
      </c>
      <c r="BM31" s="647">
        <f t="shared" si="0"/>
        <v>994.20411569995156</v>
      </c>
      <c r="BN31" s="654">
        <f t="shared" si="1"/>
        <v>4483.7081263915952</v>
      </c>
      <c r="BO31" s="654">
        <f t="shared" si="2"/>
        <v>655.17543590404694</v>
      </c>
      <c r="BP31" s="654">
        <f t="shared" si="3"/>
        <v>1090.3307435186791</v>
      </c>
      <c r="BQ31" s="654">
        <f t="shared" si="4"/>
        <v>30336.916884322047</v>
      </c>
      <c r="BR31" s="654">
        <f t="shared" si="5"/>
        <v>141646.93963582959</v>
      </c>
      <c r="BS31" s="654">
        <f t="shared" si="6"/>
        <v>618.05128484291686</v>
      </c>
      <c r="BT31" s="653">
        <f t="shared" si="7"/>
        <v>202.7985113173485</v>
      </c>
    </row>
    <row r="32" spans="2:72">
      <c r="B32" s="1034"/>
      <c r="C32" s="1038"/>
      <c r="D32" s="648" t="s">
        <v>24</v>
      </c>
      <c r="E32" s="649" t="s">
        <v>94</v>
      </c>
      <c r="F32" s="650">
        <f>IF(ISNUMBER(ACT!K26),ACT!K26,"")</f>
        <v>0</v>
      </c>
      <c r="G32" s="532" t="s">
        <v>757</v>
      </c>
      <c r="H32" s="651">
        <f>IF(ISNUMBER(ACT!L26),ACT!L26,"")</f>
        <v>0</v>
      </c>
      <c r="I32" s="534" t="s">
        <v>757</v>
      </c>
      <c r="J32" s="651">
        <f>IF(ISNUMBER(NSW!K26),NSW!K26,"")</f>
        <v>522.82799999999997</v>
      </c>
      <c r="K32" s="532" t="s">
        <v>757</v>
      </c>
      <c r="L32" s="651">
        <f>IF(ISNUMBER(NSW!L26),NSW!L26,"")</f>
        <v>159.50200000000001</v>
      </c>
      <c r="M32" s="534" t="s">
        <v>757</v>
      </c>
      <c r="N32" s="650" t="str">
        <f>IF(ISNUMBER(NT!K26),NT!K26,"")</f>
        <v/>
      </c>
      <c r="O32" s="532" t="s">
        <v>757</v>
      </c>
      <c r="P32" s="651" t="str">
        <f>IF(ISNUMBER(NT!L26),NT!L26,"")</f>
        <v/>
      </c>
      <c r="Q32" s="534" t="s">
        <v>757</v>
      </c>
      <c r="R32" s="650">
        <f>IF(ISNUMBER(Qld!K26),Qld!K26,"")</f>
        <v>1605.1580000000001</v>
      </c>
      <c r="S32" s="532" t="s">
        <v>757</v>
      </c>
      <c r="T32" s="651">
        <f>IF(ISNUMBER(Qld!L26),Qld!L26,"")</f>
        <v>140.345001</v>
      </c>
      <c r="U32" s="534" t="s">
        <v>757</v>
      </c>
      <c r="V32" s="650">
        <f>IF(ISNUMBER(SA!K26),SA!K26,"")</f>
        <v>43558.57</v>
      </c>
      <c r="W32" s="532" t="s">
        <v>757</v>
      </c>
      <c r="X32" s="651">
        <f>IF(ISNUMBER(SA!L26),SA!L26,"")</f>
        <v>46720.69</v>
      </c>
      <c r="Y32" s="534" t="s">
        <v>757</v>
      </c>
      <c r="Z32" s="650">
        <f>IF(ISNUMBER(TAS!K26),TAS!K26,"")</f>
        <v>52145</v>
      </c>
      <c r="AA32" s="532" t="s">
        <v>757</v>
      </c>
      <c r="AB32" s="651">
        <f>IF(ISNUMBER(TAS!L26),TAS!L26,"")</f>
        <v>52142</v>
      </c>
      <c r="AC32" s="534" t="s">
        <v>757</v>
      </c>
      <c r="AD32" s="650">
        <f>IF(ISNUMBER(Vic!K26),Vic!K26,"")</f>
        <v>157.47999999999999</v>
      </c>
      <c r="AE32" s="539" t="s">
        <v>757</v>
      </c>
      <c r="AF32" s="651">
        <f>IF(ISNUMBER(Vic!L26),Vic!L26,"")</f>
        <v>147.29</v>
      </c>
      <c r="AG32" s="540" t="s">
        <v>757</v>
      </c>
      <c r="AH32" s="650">
        <f>IF(ISNUMBER(WA!L26),WA!L26,"")</f>
        <v>348.42499999999995</v>
      </c>
      <c r="AI32" s="532" t="s">
        <v>757</v>
      </c>
      <c r="AJ32" s="651">
        <f>IF(ISNUMBER(WA!M26),WA!M26,"")</f>
        <v>321.53300000000002</v>
      </c>
      <c r="AK32" s="534" t="s">
        <v>757</v>
      </c>
      <c r="AL32" s="652"/>
      <c r="AM32" s="647">
        <f>IF(ISNUMBER(ACT!K26),ACT!K26*1000000/AM$7,"")</f>
        <v>0</v>
      </c>
      <c r="AN32" s="653">
        <f>IF(ISNUMBER(ACT!L26),ACT!L26*1000000/AN$7,"")</f>
        <v>0</v>
      </c>
      <c r="AO32" s="654">
        <f>IF(ISNUMBER(NSW!K26),NSW!K26*1000000/AO$7,"")</f>
        <v>69.731124090079575</v>
      </c>
      <c r="AP32" s="654">
        <f>IF(ISNUMBER(NSW!L26),NSW!L26*1000000/AP$7,"")</f>
        <v>21.142040254204993</v>
      </c>
      <c r="AQ32" s="647" t="str">
        <f>IF(ISNUMBER(NT!K26),NT!K26*1000000/AQ$7,"")</f>
        <v/>
      </c>
      <c r="AR32" s="653" t="str">
        <f>IF(ISNUMBER(NT!L26),NT!L26*1000000/AR$7,"")</f>
        <v/>
      </c>
      <c r="AS32" s="654">
        <f>IF(ISNUMBER(Qld!K26),Qld!K26*1000000/AS$7,"")</f>
        <v>341.04232672930749</v>
      </c>
      <c r="AT32" s="654">
        <f>IF(ISNUMBER(Qld!L26),Qld!L26*1000000/AT$7,"")</f>
        <v>29.614291710002981</v>
      </c>
      <c r="AU32" s="647">
        <f>IF(ISNUMBER(SA!K26),SA!K26*1000000/AU$7,"")</f>
        <v>25893.904032471881</v>
      </c>
      <c r="AV32" s="653">
        <f>IF(ISNUMBER(SA!L26),SA!L26*1000000/AV$7,"")</f>
        <v>27668.659665114672</v>
      </c>
      <c r="AW32" s="654">
        <f>IF(ISNUMBER(TAS!K26),TAS!K26*1000000/AW$7,"")</f>
        <v>101344.12886223262</v>
      </c>
      <c r="AX32" s="654">
        <f>IF(ISNUMBER(TAS!L26),TAS!L26*1000000/AX$7,"")</f>
        <v>101249.74756497289</v>
      </c>
      <c r="AY32" s="647">
        <f>IF(ISNUMBER(Vic!K26),Vic!K26*1000000/AY$7,"")</f>
        <v>27.070359039803293</v>
      </c>
      <c r="AZ32" s="653">
        <f>IF(ISNUMBER(Vic!L26),Vic!L26*1000000/AZ$7,"")</f>
        <v>25.109856688506166</v>
      </c>
      <c r="BA32" s="647">
        <f>IF(ISNUMBER(WA!L26),WA!L26*1000000/BA$7,"")</f>
        <v>136.29342134137681</v>
      </c>
      <c r="BB32" s="655">
        <f>IF(ISNUMBER(WA!M26),WA!M26*1000000/BB$7,"")</f>
        <v>124.91525864905678</v>
      </c>
      <c r="BD32" s="647">
        <v>0</v>
      </c>
      <c r="BE32" s="654">
        <v>49.049944740214016</v>
      </c>
      <c r="BF32" s="654">
        <v>0</v>
      </c>
      <c r="BG32" s="654">
        <v>144.3972889248563</v>
      </c>
      <c r="BH32" s="654">
        <v>54545.267250105251</v>
      </c>
      <c r="BI32" s="654">
        <v>216536.81340085703</v>
      </c>
      <c r="BJ32" s="654">
        <v>1229.3479902088709</v>
      </c>
      <c r="BK32" s="653">
        <v>345.48158351140791</v>
      </c>
      <c r="BM32" s="647">
        <f t="shared" si="0"/>
        <v>0</v>
      </c>
      <c r="BN32" s="654">
        <f t="shared" si="1"/>
        <v>45.361424845878986</v>
      </c>
      <c r="BO32" s="654" t="str">
        <f t="shared" si="2"/>
        <v/>
      </c>
      <c r="BP32" s="654">
        <f t="shared" si="3"/>
        <v>184.79298732198424</v>
      </c>
      <c r="BQ32" s="654">
        <f t="shared" si="4"/>
        <v>26782.962478625075</v>
      </c>
      <c r="BR32" s="654">
        <f t="shared" si="5"/>
        <v>101296.91758667649</v>
      </c>
      <c r="BS32" s="654">
        <f t="shared" si="6"/>
        <v>26.086047751923971</v>
      </c>
      <c r="BT32" s="653">
        <f t="shared" si="7"/>
        <v>130.58485019419379</v>
      </c>
    </row>
    <row r="33" spans="2:72">
      <c r="B33" s="1034"/>
      <c r="C33" s="1038"/>
      <c r="D33" s="648" t="s">
        <v>25</v>
      </c>
      <c r="E33" s="649" t="s">
        <v>145</v>
      </c>
      <c r="F33" s="650">
        <f>IF(ISNUMBER(ACT!K27),ACT!K27,"")</f>
        <v>0</v>
      </c>
      <c r="G33" s="532" t="s">
        <v>757</v>
      </c>
      <c r="H33" s="651">
        <f>IF(ISNUMBER(ACT!L27),ACT!L27,"")</f>
        <v>0</v>
      </c>
      <c r="I33" s="534" t="s">
        <v>757</v>
      </c>
      <c r="J33" s="651" t="str">
        <f>IF(ISNUMBER(NSW!K27),NSW!K27,"")</f>
        <v/>
      </c>
      <c r="K33" s="532" t="s">
        <v>757</v>
      </c>
      <c r="L33" s="651" t="str">
        <f>IF(ISNUMBER(NSW!L27),NSW!L27,"")</f>
        <v/>
      </c>
      <c r="M33" s="534" t="s">
        <v>757</v>
      </c>
      <c r="N33" s="650" t="str">
        <f>IF(ISNUMBER(NT!K27),NT!K27,"")</f>
        <v/>
      </c>
      <c r="O33" s="532" t="s">
        <v>757</v>
      </c>
      <c r="P33" s="651" t="str">
        <f>IF(ISNUMBER(NT!L27),NT!L27,"")</f>
        <v/>
      </c>
      <c r="Q33" s="534" t="s">
        <v>757</v>
      </c>
      <c r="R33" s="650">
        <f>IF(ISNUMBER(Qld!K27),Qld!K27,"")</f>
        <v>1</v>
      </c>
      <c r="S33" s="532" t="s">
        <v>757</v>
      </c>
      <c r="T33" s="651">
        <f>IF(ISNUMBER(Qld!L27),Qld!L27,"")</f>
        <v>9.9999999999999995E-7</v>
      </c>
      <c r="U33" s="534" t="s">
        <v>757</v>
      </c>
      <c r="V33" s="650">
        <f>IF(ISNUMBER(SA!K27),SA!K27,"")</f>
        <v>0</v>
      </c>
      <c r="W33" s="532" t="s">
        <v>757</v>
      </c>
      <c r="X33" s="651">
        <f>IF(ISNUMBER(SA!L27),SA!L27,"")</f>
        <v>0</v>
      </c>
      <c r="Y33" s="534" t="s">
        <v>757</v>
      </c>
      <c r="Z33" s="650" t="str">
        <f>IF(ISNUMBER(TAS!K27),TAS!K27,"")</f>
        <v/>
      </c>
      <c r="AA33" s="532" t="s">
        <v>757</v>
      </c>
      <c r="AB33" s="651" t="str">
        <f>IF(ISNUMBER(TAS!L27),TAS!L27,"")</f>
        <v/>
      </c>
      <c r="AC33" s="534" t="s">
        <v>757</v>
      </c>
      <c r="AD33" s="650">
        <f>IF(ISNUMBER(Vic!K27),Vic!K27,"")</f>
        <v>0</v>
      </c>
      <c r="AE33" s="539" t="s">
        <v>757</v>
      </c>
      <c r="AF33" s="651">
        <f>IF(ISNUMBER(Vic!L27),Vic!L27,"")</f>
        <v>0</v>
      </c>
      <c r="AG33" s="540" t="s">
        <v>757</v>
      </c>
      <c r="AH33" s="650" t="str">
        <f>IF(ISNUMBER(WA!L27),WA!L27,"")</f>
        <v/>
      </c>
      <c r="AI33" s="532" t="s">
        <v>757</v>
      </c>
      <c r="AJ33" s="651" t="str">
        <f>IF(ISNUMBER(WA!M27),WA!M27,"")</f>
        <v/>
      </c>
      <c r="AK33" s="534" t="s">
        <v>757</v>
      </c>
      <c r="AL33" s="652"/>
      <c r="AM33" s="647">
        <f>IF(ISNUMBER(ACT!K27),ACT!K27*1000000/AM$7,"")</f>
        <v>0</v>
      </c>
      <c r="AN33" s="653">
        <f>IF(ISNUMBER(ACT!L27),ACT!L27*1000000/AN$7,"")</f>
        <v>0</v>
      </c>
      <c r="AO33" s="654" t="str">
        <f>IF(ISNUMBER(NSW!K27),NSW!K27*1000000/AO$7,"")</f>
        <v/>
      </c>
      <c r="AP33" s="654" t="str">
        <f>IF(ISNUMBER(NSW!L27),NSW!L27*1000000/AP$7,"")</f>
        <v/>
      </c>
      <c r="AQ33" s="647" t="str">
        <f>IF(ISNUMBER(NT!K27),NT!K27*1000000/AQ$7,"")</f>
        <v/>
      </c>
      <c r="AR33" s="653" t="str">
        <f>IF(ISNUMBER(NT!L27),NT!L27*1000000/AR$7,"")</f>
        <v/>
      </c>
      <c r="AS33" s="654">
        <f>IF(ISNUMBER(Qld!K27),Qld!K27*1000000/AS$7,"")</f>
        <v>0.21246651527719232</v>
      </c>
      <c r="AT33" s="654">
        <f>IF(ISNUMBER(Qld!L27),Qld!L27*1000000/AT$7,"")</f>
        <v>2.1101066300183346E-7</v>
      </c>
      <c r="AU33" s="647">
        <f>IF(ISNUMBER(SA!K27),SA!K27*1000000/AU$7,"")</f>
        <v>0</v>
      </c>
      <c r="AV33" s="653">
        <f>IF(ISNUMBER(SA!L27),SA!L27*1000000/AV$7,"")</f>
        <v>0</v>
      </c>
      <c r="AW33" s="654" t="str">
        <f>IF(ISNUMBER(TAS!K27),TAS!K27*1000000/AW$7,"")</f>
        <v/>
      </c>
      <c r="AX33" s="654" t="str">
        <f>IF(ISNUMBER(TAS!L27),TAS!L27*1000000/AX$7,"")</f>
        <v/>
      </c>
      <c r="AY33" s="647">
        <f>IF(ISNUMBER(Vic!K27),Vic!K27*1000000/AY$7,"")</f>
        <v>0</v>
      </c>
      <c r="AZ33" s="653">
        <f>IF(ISNUMBER(Vic!L27),Vic!L27*1000000/AZ$7,"")</f>
        <v>0</v>
      </c>
      <c r="BA33" s="647" t="str">
        <f>IF(ISNUMBER(WA!L27),WA!L27*1000000/BA$7,"")</f>
        <v/>
      </c>
      <c r="BB33" s="655" t="str">
        <f>IF(ISNUMBER(WA!M27),WA!M27*1000000/BB$7,"")</f>
        <v/>
      </c>
      <c r="BD33" s="647">
        <v>0</v>
      </c>
      <c r="BE33" s="654">
        <v>4.3584788344228409</v>
      </c>
      <c r="BF33" s="654">
        <v>0</v>
      </c>
      <c r="BG33" s="654">
        <v>0.21392190951830561</v>
      </c>
      <c r="BH33" s="654">
        <v>3.8935717250254545</v>
      </c>
      <c r="BI33" s="654" t="s">
        <v>855</v>
      </c>
      <c r="BJ33" s="654">
        <v>0</v>
      </c>
      <c r="BK33" s="653">
        <v>0</v>
      </c>
      <c r="BM33" s="647">
        <f t="shared" si="0"/>
        <v>0</v>
      </c>
      <c r="BN33" s="654" t="str">
        <f t="shared" si="1"/>
        <v/>
      </c>
      <c r="BO33" s="654" t="str">
        <f t="shared" si="2"/>
        <v/>
      </c>
      <c r="BP33" s="654">
        <f t="shared" si="3"/>
        <v>0.10586814918628235</v>
      </c>
      <c r="BQ33" s="654">
        <f t="shared" si="4"/>
        <v>0</v>
      </c>
      <c r="BR33" s="654" t="str">
        <f t="shared" si="5"/>
        <v/>
      </c>
      <c r="BS33" s="654">
        <f t="shared" si="6"/>
        <v>0</v>
      </c>
      <c r="BT33" s="653" t="str">
        <f t="shared" si="7"/>
        <v/>
      </c>
    </row>
    <row r="34" spans="2:72">
      <c r="B34" s="1034"/>
      <c r="C34" s="1038"/>
      <c r="D34" s="648" t="s">
        <v>146</v>
      </c>
      <c r="E34" s="649" t="s">
        <v>147</v>
      </c>
      <c r="F34" s="650">
        <f>IF(ISNUMBER(ACT!K28),ACT!K28,"")</f>
        <v>0</v>
      </c>
      <c r="G34" s="532" t="s">
        <v>757</v>
      </c>
      <c r="H34" s="651">
        <f>IF(ISNUMBER(ACT!L28),ACT!L28,"")</f>
        <v>0</v>
      </c>
      <c r="I34" s="534" t="s">
        <v>757</v>
      </c>
      <c r="J34" s="651" t="str">
        <f>IF(ISNUMBER(NSW!K28),NSW!K28,"")</f>
        <v/>
      </c>
      <c r="K34" s="532" t="s">
        <v>757</v>
      </c>
      <c r="L34" s="651" t="str">
        <f>IF(ISNUMBER(NSW!L28),NSW!L28,"")</f>
        <v/>
      </c>
      <c r="M34" s="534" t="s">
        <v>757</v>
      </c>
      <c r="N34" s="650" t="str">
        <f>IF(ISNUMBER(NT!K28),NT!K28,"")</f>
        <v/>
      </c>
      <c r="O34" s="532" t="s">
        <v>757</v>
      </c>
      <c r="P34" s="651" t="str">
        <f>IF(ISNUMBER(NT!L28),NT!L28,"")</f>
        <v/>
      </c>
      <c r="Q34" s="534" t="s">
        <v>757</v>
      </c>
      <c r="R34" s="650">
        <f>IF(ISNUMBER(Qld!K28),Qld!K28,"")</f>
        <v>0</v>
      </c>
      <c r="S34" s="532" t="s">
        <v>757</v>
      </c>
      <c r="T34" s="651">
        <f>IF(ISNUMBER(Qld!L28),Qld!L28,"")</f>
        <v>10.220001</v>
      </c>
      <c r="U34" s="534" t="s">
        <v>757</v>
      </c>
      <c r="V34" s="650">
        <f>IF(ISNUMBER(SA!K28),SA!K28,"")</f>
        <v>0</v>
      </c>
      <c r="W34" s="532" t="s">
        <v>757</v>
      </c>
      <c r="X34" s="651">
        <f>IF(ISNUMBER(SA!L28),SA!L28,"")</f>
        <v>0</v>
      </c>
      <c r="Y34" s="534" t="s">
        <v>757</v>
      </c>
      <c r="Z34" s="650" t="str">
        <f>IF(ISNUMBER(TAS!K28),TAS!K28,"")</f>
        <v/>
      </c>
      <c r="AA34" s="532" t="s">
        <v>757</v>
      </c>
      <c r="AB34" s="651" t="str">
        <f>IF(ISNUMBER(TAS!L28),TAS!L28,"")</f>
        <v/>
      </c>
      <c r="AC34" s="534" t="s">
        <v>757</v>
      </c>
      <c r="AD34" s="650" t="str">
        <f>IF(ISNUMBER(Vic!K28),Vic!K28,"")</f>
        <v/>
      </c>
      <c r="AE34" s="531"/>
      <c r="AF34" s="651" t="str">
        <f>IF(ISNUMBER(Vic!L28),Vic!L28,"")</f>
        <v/>
      </c>
      <c r="AG34" s="531"/>
      <c r="AH34" s="650" t="str">
        <f>IF(ISNUMBER(WA!L28),WA!L28,"")</f>
        <v/>
      </c>
      <c r="AI34" s="532" t="s">
        <v>757</v>
      </c>
      <c r="AJ34" s="651" t="str">
        <f>IF(ISNUMBER(WA!M28),WA!M28,"")</f>
        <v/>
      </c>
      <c r="AK34" s="534" t="s">
        <v>757</v>
      </c>
      <c r="AL34" s="652"/>
      <c r="AM34" s="647">
        <f>IF(ISNUMBER(ACT!K28),ACT!K28*1000000/AM$7,"")</f>
        <v>0</v>
      </c>
      <c r="AN34" s="653">
        <f>IF(ISNUMBER(ACT!L28),ACT!L28*1000000/AN$7,"")</f>
        <v>0</v>
      </c>
      <c r="AO34" s="654" t="str">
        <f>IF(ISNUMBER(NSW!K28),NSW!K28*1000000/AO$7,"")</f>
        <v/>
      </c>
      <c r="AP34" s="654" t="str">
        <f>IF(ISNUMBER(NSW!L28),NSW!L28*1000000/AP$7,"")</f>
        <v/>
      </c>
      <c r="AQ34" s="647" t="str">
        <f>IF(ISNUMBER(NT!K28),NT!K28*1000000/AQ$7,"")</f>
        <v/>
      </c>
      <c r="AR34" s="653" t="str">
        <f>IF(ISNUMBER(NT!L28),NT!L28*1000000/AR$7,"")</f>
        <v/>
      </c>
      <c r="AS34" s="654">
        <f>IF(ISNUMBER(Qld!K28),Qld!K28*1000000/AS$7,"")</f>
        <v>0</v>
      </c>
      <c r="AT34" s="654">
        <f>IF(ISNUMBER(Qld!L28),Qld!L28*1000000/AT$7,"")</f>
        <v>2.1565291868894012</v>
      </c>
      <c r="AU34" s="647">
        <f>IF(ISNUMBER(SA!K28),SA!K28*1000000/AU$7,"")</f>
        <v>0</v>
      </c>
      <c r="AV34" s="653">
        <f>IF(ISNUMBER(SA!L28),SA!L28*1000000/AV$7,"")</f>
        <v>0</v>
      </c>
      <c r="AW34" s="654" t="str">
        <f>IF(ISNUMBER(TAS!K28),TAS!K28*1000000/AW$7,"")</f>
        <v/>
      </c>
      <c r="AX34" s="654" t="str">
        <f>IF(ISNUMBER(TAS!L28),TAS!L28*1000000/AX$7,"")</f>
        <v/>
      </c>
      <c r="AY34" s="647" t="str">
        <f>IF(ISNUMBER(Vic!K28),Vic!K28*1000000/AY$7,"")</f>
        <v/>
      </c>
      <c r="AZ34" s="653" t="str">
        <f>IF(ISNUMBER(Vic!L28),Vic!L28*1000000/AZ$7,"")</f>
        <v/>
      </c>
      <c r="BA34" s="647" t="str">
        <f>IF(ISNUMBER(WA!L28),WA!L28*1000000/BA$7,"")</f>
        <v/>
      </c>
      <c r="BB34" s="655" t="str">
        <f>IF(ISNUMBER(WA!M28),WA!M28*1000000/BB$7,"")</f>
        <v/>
      </c>
      <c r="BD34" s="647">
        <v>0</v>
      </c>
      <c r="BE34" s="654">
        <v>0</v>
      </c>
      <c r="BF34" s="654">
        <v>0</v>
      </c>
      <c r="BG34" s="654">
        <v>0</v>
      </c>
      <c r="BH34" s="654">
        <v>0</v>
      </c>
      <c r="BI34" s="654" t="s">
        <v>855</v>
      </c>
      <c r="BJ34" s="654" t="s">
        <v>855</v>
      </c>
      <c r="BK34" s="653">
        <v>1.9980698645108825E-3</v>
      </c>
      <c r="BM34" s="647">
        <f t="shared" si="0"/>
        <v>0</v>
      </c>
      <c r="BN34" s="654" t="str">
        <f t="shared" si="1"/>
        <v/>
      </c>
      <c r="BO34" s="654" t="str">
        <f t="shared" si="2"/>
        <v/>
      </c>
      <c r="BP34" s="654">
        <f t="shared" si="3"/>
        <v>1.0819715085804462</v>
      </c>
      <c r="BQ34" s="654">
        <f t="shared" si="4"/>
        <v>0</v>
      </c>
      <c r="BR34" s="654" t="str">
        <f t="shared" si="5"/>
        <v/>
      </c>
      <c r="BS34" s="654" t="str">
        <f t="shared" si="6"/>
        <v/>
      </c>
      <c r="BT34" s="653" t="str">
        <f t="shared" si="7"/>
        <v/>
      </c>
    </row>
    <row r="35" spans="2:72">
      <c r="B35" s="1034"/>
      <c r="C35" s="1038"/>
      <c r="D35" s="648" t="s">
        <v>148</v>
      </c>
      <c r="E35" s="649" t="s">
        <v>149</v>
      </c>
      <c r="F35" s="650">
        <f>IF(ISNUMBER(ACT!K29),ACT!K29,"")</f>
        <v>0</v>
      </c>
      <c r="G35" s="532" t="s">
        <v>757</v>
      </c>
      <c r="H35" s="651">
        <f>IF(ISNUMBER(ACT!L29),ACT!L29,"")</f>
        <v>0</v>
      </c>
      <c r="I35" s="534" t="s">
        <v>757</v>
      </c>
      <c r="J35" s="651" t="str">
        <f>IF(ISNUMBER(NSW!K29),NSW!K29,"")</f>
        <v/>
      </c>
      <c r="K35" s="532" t="s">
        <v>757</v>
      </c>
      <c r="L35" s="651" t="str">
        <f>IF(ISNUMBER(NSW!L29),NSW!L29,"")</f>
        <v/>
      </c>
      <c r="M35" s="534" t="s">
        <v>757</v>
      </c>
      <c r="N35" s="650" t="str">
        <f>IF(ISNUMBER(NT!K29),NT!K29,"")</f>
        <v/>
      </c>
      <c r="O35" s="532" t="s">
        <v>757</v>
      </c>
      <c r="P35" s="651" t="str">
        <f>IF(ISNUMBER(NT!L29),NT!L29,"")</f>
        <v/>
      </c>
      <c r="Q35" s="534" t="s">
        <v>757</v>
      </c>
      <c r="R35" s="650">
        <f>IF(ISNUMBER(Qld!K29),Qld!K29,"")</f>
        <v>0</v>
      </c>
      <c r="S35" s="532" t="s">
        <v>757</v>
      </c>
      <c r="T35" s="651">
        <f>IF(ISNUMBER(Qld!L29),Qld!L29,"")</f>
        <v>12.800001</v>
      </c>
      <c r="U35" s="534" t="s">
        <v>757</v>
      </c>
      <c r="V35" s="650">
        <f>IF(ISNUMBER(SA!K29),SA!K29,"")</f>
        <v>0</v>
      </c>
      <c r="W35" s="532" t="s">
        <v>757</v>
      </c>
      <c r="X35" s="651">
        <f>IF(ISNUMBER(SA!L29),SA!L29,"")</f>
        <v>0</v>
      </c>
      <c r="Y35" s="534" t="s">
        <v>757</v>
      </c>
      <c r="Z35" s="650" t="str">
        <f>IF(ISNUMBER(TAS!K29),TAS!K29,"")</f>
        <v/>
      </c>
      <c r="AA35" s="532" t="s">
        <v>757</v>
      </c>
      <c r="AB35" s="651" t="str">
        <f>IF(ISNUMBER(TAS!L29),TAS!L29,"")</f>
        <v/>
      </c>
      <c r="AC35" s="534" t="s">
        <v>757</v>
      </c>
      <c r="AD35" s="650" t="str">
        <f>IF(ISNUMBER(Vic!K29),Vic!K29,"")</f>
        <v/>
      </c>
      <c r="AE35" s="531"/>
      <c r="AF35" s="651" t="str">
        <f>IF(ISNUMBER(Vic!L29),Vic!L29,"")</f>
        <v/>
      </c>
      <c r="AG35" s="531"/>
      <c r="AH35" s="650">
        <f>IF(ISNUMBER(WA!L29),WA!L29,"")</f>
        <v>85.4</v>
      </c>
      <c r="AI35" s="532" t="s">
        <v>757</v>
      </c>
      <c r="AJ35" s="651" t="str">
        <f>IF(ISNUMBER(WA!M29),WA!M29,"")</f>
        <v/>
      </c>
      <c r="AK35" s="534" t="s">
        <v>757</v>
      </c>
      <c r="AL35" s="652"/>
      <c r="AM35" s="647">
        <f>IF(ISNUMBER(ACT!K29),ACT!K29*1000000/AM$7,"")</f>
        <v>0</v>
      </c>
      <c r="AN35" s="653">
        <f>IF(ISNUMBER(ACT!L29),ACT!L29*1000000/AN$7,"")</f>
        <v>0</v>
      </c>
      <c r="AO35" s="654" t="str">
        <f>IF(ISNUMBER(NSW!K29),NSW!K29*1000000/AO$7,"")</f>
        <v/>
      </c>
      <c r="AP35" s="654" t="str">
        <f>IF(ISNUMBER(NSW!L29),NSW!L29*1000000/AP$7,"")</f>
        <v/>
      </c>
      <c r="AQ35" s="647" t="str">
        <f>IF(ISNUMBER(NT!K29),NT!K29*1000000/AQ$7,"")</f>
        <v/>
      </c>
      <c r="AR35" s="653" t="str">
        <f>IF(ISNUMBER(NT!L29),NT!L29*1000000/AR$7,"")</f>
        <v/>
      </c>
      <c r="AS35" s="654">
        <f>IF(ISNUMBER(Qld!K29),Qld!K29*1000000/AS$7,"")</f>
        <v>0</v>
      </c>
      <c r="AT35" s="654">
        <f>IF(ISNUMBER(Qld!L29),Qld!L29*1000000/AT$7,"")</f>
        <v>2.7009366974341313</v>
      </c>
      <c r="AU35" s="647">
        <f>IF(ISNUMBER(SA!K29),SA!K29*1000000/AU$7,"")</f>
        <v>0</v>
      </c>
      <c r="AV35" s="653">
        <f>IF(ISNUMBER(SA!L29),SA!L29*1000000/AV$7,"")</f>
        <v>0</v>
      </c>
      <c r="AW35" s="654" t="str">
        <f>IF(ISNUMBER(TAS!K29),TAS!K29*1000000/AW$7,"")</f>
        <v/>
      </c>
      <c r="AX35" s="654" t="str">
        <f>IF(ISNUMBER(TAS!L29),TAS!L29*1000000/AX$7,"")</f>
        <v/>
      </c>
      <c r="AY35" s="647" t="str">
        <f>IF(ISNUMBER(Vic!K29),Vic!K29*1000000/AY$7,"")</f>
        <v/>
      </c>
      <c r="AZ35" s="653" t="str">
        <f>IF(ISNUMBER(Vic!L29),Vic!L29*1000000/AZ$7,"")</f>
        <v/>
      </c>
      <c r="BA35" s="647">
        <f>IF(ISNUMBER(WA!L29),WA!L29*1000000/BA$7,"")</f>
        <v>33.405921453838218</v>
      </c>
      <c r="BB35" s="655" t="str">
        <f>IF(ISNUMBER(WA!M29),WA!M29*1000000/BB$7,"")</f>
        <v/>
      </c>
      <c r="BD35" s="647">
        <v>0</v>
      </c>
      <c r="BE35" s="654">
        <v>0</v>
      </c>
      <c r="BF35" s="654">
        <v>0</v>
      </c>
      <c r="BG35" s="654">
        <v>11.765705023506809</v>
      </c>
      <c r="BH35" s="654">
        <v>0</v>
      </c>
      <c r="BI35" s="654" t="s">
        <v>855</v>
      </c>
      <c r="BJ35" s="654" t="s">
        <v>855</v>
      </c>
      <c r="BK35" s="653">
        <v>0</v>
      </c>
      <c r="BM35" s="647">
        <f t="shared" si="0"/>
        <v>0</v>
      </c>
      <c r="BN35" s="654" t="str">
        <f t="shared" si="1"/>
        <v/>
      </c>
      <c r="BO35" s="654" t="str">
        <f t="shared" si="2"/>
        <v/>
      </c>
      <c r="BP35" s="654">
        <f t="shared" si="3"/>
        <v>1.3551110603415029</v>
      </c>
      <c r="BQ35" s="654">
        <f t="shared" si="4"/>
        <v>0</v>
      </c>
      <c r="BR35" s="654" t="str">
        <f t="shared" si="5"/>
        <v/>
      </c>
      <c r="BS35" s="654" t="str">
        <f t="shared" si="6"/>
        <v/>
      </c>
      <c r="BT35" s="653">
        <f t="shared" si="7"/>
        <v>16.645739294976924</v>
      </c>
    </row>
    <row r="36" spans="2:72">
      <c r="B36" s="1034"/>
      <c r="C36" s="1038"/>
      <c r="D36" s="648" t="s">
        <v>26</v>
      </c>
      <c r="E36" s="649" t="s">
        <v>150</v>
      </c>
      <c r="F36" s="650">
        <f>IF(ISNUMBER(ACT!K30),ACT!K30,"")</f>
        <v>0</v>
      </c>
      <c r="G36" s="532" t="s">
        <v>757</v>
      </c>
      <c r="H36" s="651">
        <f>IF(ISNUMBER(ACT!L30),ACT!L30,"")</f>
        <v>0</v>
      </c>
      <c r="I36" s="534" t="s">
        <v>757</v>
      </c>
      <c r="J36" s="651" t="str">
        <f>IF(ISNUMBER(NSW!K30),NSW!K30,"")</f>
        <v/>
      </c>
      <c r="K36" s="532" t="s">
        <v>757</v>
      </c>
      <c r="L36" s="651" t="str">
        <f>IF(ISNUMBER(NSW!L30),NSW!L30,"")</f>
        <v/>
      </c>
      <c r="M36" s="534" t="s">
        <v>757</v>
      </c>
      <c r="N36" s="650" t="str">
        <f>IF(ISNUMBER(NT!K30),NT!K30,"")</f>
        <v/>
      </c>
      <c r="O36" s="532" t="s">
        <v>757</v>
      </c>
      <c r="P36" s="651" t="str">
        <f>IF(ISNUMBER(NT!L30),NT!L30,"")</f>
        <v/>
      </c>
      <c r="Q36" s="534" t="s">
        <v>757</v>
      </c>
      <c r="R36" s="650">
        <f>IF(ISNUMBER(Qld!K30),Qld!K30,"")</f>
        <v>0</v>
      </c>
      <c r="S36" s="532" t="s">
        <v>757</v>
      </c>
      <c r="T36" s="651">
        <f>IF(ISNUMBER(Qld!L30),Qld!L30,"")</f>
        <v>9.9999999999999995E-7</v>
      </c>
      <c r="U36" s="534" t="s">
        <v>757</v>
      </c>
      <c r="V36" s="650">
        <f>IF(ISNUMBER(SA!K30),SA!K30,"")</f>
        <v>0</v>
      </c>
      <c r="W36" s="532" t="s">
        <v>757</v>
      </c>
      <c r="X36" s="651">
        <f>IF(ISNUMBER(SA!L30),SA!L30,"")</f>
        <v>0</v>
      </c>
      <c r="Y36" s="534" t="s">
        <v>757</v>
      </c>
      <c r="Z36" s="650" t="str">
        <f>IF(ISNUMBER(TAS!K30),TAS!K30,"")</f>
        <v/>
      </c>
      <c r="AA36" s="532" t="s">
        <v>757</v>
      </c>
      <c r="AB36" s="651" t="str">
        <f>IF(ISNUMBER(TAS!L30),TAS!L30,"")</f>
        <v/>
      </c>
      <c r="AC36" s="534" t="s">
        <v>757</v>
      </c>
      <c r="AD36" s="650">
        <f>IF(ISNUMBER(Vic!K30),Vic!K30,"")</f>
        <v>1E-3</v>
      </c>
      <c r="AE36" s="539" t="s">
        <v>757</v>
      </c>
      <c r="AF36" s="651">
        <f>IF(ISNUMBER(Vic!L30),Vic!L30,"")</f>
        <v>0.16999999999999998</v>
      </c>
      <c r="AG36" s="540" t="s">
        <v>757</v>
      </c>
      <c r="AH36" s="650" t="str">
        <f>IF(ISNUMBER(WA!L30),WA!L30,"")</f>
        <v/>
      </c>
      <c r="AI36" s="532" t="s">
        <v>757</v>
      </c>
      <c r="AJ36" s="651">
        <f>IF(ISNUMBER(WA!M30),WA!M30,"")</f>
        <v>2.12</v>
      </c>
      <c r="AK36" s="534" t="s">
        <v>757</v>
      </c>
      <c r="AL36" s="652"/>
      <c r="AM36" s="647">
        <f>IF(ISNUMBER(ACT!K30),ACT!K30*1000000/AM$7,"")</f>
        <v>0</v>
      </c>
      <c r="AN36" s="653">
        <f>IF(ISNUMBER(ACT!L30),ACT!L30*1000000/AN$7,"")</f>
        <v>0</v>
      </c>
      <c r="AO36" s="654" t="str">
        <f>IF(ISNUMBER(NSW!K30),NSW!K30*1000000/AO$7,"")</f>
        <v/>
      </c>
      <c r="AP36" s="654" t="str">
        <f>IF(ISNUMBER(NSW!L30),NSW!L30*1000000/AP$7,"")</f>
        <v/>
      </c>
      <c r="AQ36" s="647" t="str">
        <f>IF(ISNUMBER(NT!K30),NT!K30*1000000/AQ$7,"")</f>
        <v/>
      </c>
      <c r="AR36" s="653" t="str">
        <f>IF(ISNUMBER(NT!L30),NT!L30*1000000/AR$7,"")</f>
        <v/>
      </c>
      <c r="AS36" s="654">
        <f>IF(ISNUMBER(Qld!K30),Qld!K30*1000000/AS$7,"")</f>
        <v>0</v>
      </c>
      <c r="AT36" s="654">
        <f>IF(ISNUMBER(Qld!L30),Qld!L30*1000000/AT$7,"")</f>
        <v>2.1101066300183346E-7</v>
      </c>
      <c r="AU36" s="647">
        <f>IF(ISNUMBER(SA!K30),SA!K30*1000000/AU$7,"")</f>
        <v>0</v>
      </c>
      <c r="AV36" s="653">
        <f>IF(ISNUMBER(SA!L30),SA!L30*1000000/AV$7,"")</f>
        <v>0</v>
      </c>
      <c r="AW36" s="654" t="str">
        <f>IF(ISNUMBER(TAS!K30),TAS!K30*1000000/AW$7,"")</f>
        <v/>
      </c>
      <c r="AX36" s="654" t="str">
        <f>IF(ISNUMBER(TAS!L30),TAS!L30*1000000/AX$7,"")</f>
        <v/>
      </c>
      <c r="AY36" s="647">
        <f>IF(ISNUMBER(Vic!K30),Vic!K30*1000000/AY$7,"")</f>
        <v>1.7189712369699832E-4</v>
      </c>
      <c r="AZ36" s="653">
        <f>IF(ISNUMBER(Vic!L30),Vic!L30*1000000/AZ$7,"")</f>
        <v>2.8981435515283101E-2</v>
      </c>
      <c r="BA36" s="647" t="str">
        <f>IF(ISNUMBER(WA!L30),WA!L30*1000000/BA$7,"")</f>
        <v/>
      </c>
      <c r="BB36" s="655">
        <f>IF(ISNUMBER(WA!M30),WA!M30*1000000/BB$7,"")</f>
        <v>0.82361794383780318</v>
      </c>
      <c r="BD36" s="647">
        <v>0</v>
      </c>
      <c r="BE36" s="654">
        <v>0</v>
      </c>
      <c r="BF36" s="654">
        <v>0</v>
      </c>
      <c r="BG36" s="654">
        <v>0</v>
      </c>
      <c r="BH36" s="654">
        <v>0</v>
      </c>
      <c r="BI36" s="654" t="s">
        <v>855</v>
      </c>
      <c r="BJ36" s="654">
        <v>9.9742611566048245E-2</v>
      </c>
      <c r="BK36" s="653">
        <v>0.17062428576459265</v>
      </c>
      <c r="BM36" s="647">
        <f t="shared" si="0"/>
        <v>0</v>
      </c>
      <c r="BN36" s="654" t="str">
        <f t="shared" si="1"/>
        <v/>
      </c>
      <c r="BO36" s="654" t="str">
        <f t="shared" si="2"/>
        <v/>
      </c>
      <c r="BP36" s="654">
        <f t="shared" si="3"/>
        <v>1.0586804331823902E-7</v>
      </c>
      <c r="BQ36" s="654">
        <f t="shared" si="4"/>
        <v>0</v>
      </c>
      <c r="BR36" s="654" t="str">
        <f t="shared" si="5"/>
        <v/>
      </c>
      <c r="BS36" s="654">
        <f t="shared" si="6"/>
        <v>1.4636329578301665E-2</v>
      </c>
      <c r="BT36" s="653">
        <f t="shared" si="7"/>
        <v>0.41321975767390023</v>
      </c>
    </row>
    <row r="37" spans="2:72">
      <c r="B37" s="1034"/>
      <c r="C37" s="1038"/>
      <c r="D37" s="648" t="s">
        <v>27</v>
      </c>
      <c r="E37" s="649" t="s">
        <v>95</v>
      </c>
      <c r="F37" s="650">
        <f>IF(ISNUMBER(ACT!K31),ACT!K31,"")</f>
        <v>0</v>
      </c>
      <c r="G37" s="532" t="s">
        <v>757</v>
      </c>
      <c r="H37" s="651">
        <f>IF(ISNUMBER(ACT!L31),ACT!L31,"")</f>
        <v>0</v>
      </c>
      <c r="I37" s="534" t="s">
        <v>757</v>
      </c>
      <c r="J37" s="651">
        <f>IF(ISNUMBER(NSW!K31),NSW!K31,"")</f>
        <v>18203.031060000001</v>
      </c>
      <c r="K37" s="532" t="s">
        <v>757</v>
      </c>
      <c r="L37" s="651">
        <f>IF(ISNUMBER(NSW!L31),NSW!L31,"")</f>
        <v>19270.549600000006</v>
      </c>
      <c r="M37" s="534" t="s">
        <v>757</v>
      </c>
      <c r="N37" s="650">
        <f>IF(ISNUMBER(NT!K31),NT!K31,"")</f>
        <v>24</v>
      </c>
      <c r="O37" s="532" t="s">
        <v>757</v>
      </c>
      <c r="P37" s="651">
        <f>IF(ISNUMBER(NT!L31),NT!L31,"")</f>
        <v>5.65</v>
      </c>
      <c r="Q37" s="534" t="s">
        <v>757</v>
      </c>
      <c r="R37" s="650">
        <f>IF(ISNUMBER(Qld!K31),Qld!K31,"")</f>
        <v>14203.107</v>
      </c>
      <c r="S37" s="532" t="s">
        <v>757</v>
      </c>
      <c r="T37" s="651">
        <f>IF(ISNUMBER(Qld!L31),Qld!L31,"")</f>
        <v>9856.3890010000068</v>
      </c>
      <c r="U37" s="534" t="s">
        <v>757</v>
      </c>
      <c r="V37" s="650">
        <f>IF(ISNUMBER(SA!K31),SA!K31,"")</f>
        <v>121.58</v>
      </c>
      <c r="W37" s="532" t="s">
        <v>757</v>
      </c>
      <c r="X37" s="651">
        <f>IF(ISNUMBER(SA!L31),SA!L31,"")</f>
        <v>119.1</v>
      </c>
      <c r="Y37" s="534" t="s">
        <v>757</v>
      </c>
      <c r="Z37" s="650">
        <f>IF(ISNUMBER(TAS!K31),TAS!K31,"")</f>
        <v>1614.06</v>
      </c>
      <c r="AA37" s="532" t="s">
        <v>757</v>
      </c>
      <c r="AB37" s="651">
        <f>IF(ISNUMBER(TAS!L31),TAS!L31,"")</f>
        <v>1760.83</v>
      </c>
      <c r="AC37" s="534" t="s">
        <v>757</v>
      </c>
      <c r="AD37" s="650">
        <f>IF(ISNUMBER(Vic!K31),Vic!K31,"")</f>
        <v>2979.9050000000002</v>
      </c>
      <c r="AE37" s="539" t="s">
        <v>757</v>
      </c>
      <c r="AF37" s="651">
        <f>IF(ISNUMBER(Vic!L31),Vic!L31,"")</f>
        <v>2718.5009999999997</v>
      </c>
      <c r="AG37" s="540" t="s">
        <v>757</v>
      </c>
      <c r="AH37" s="650">
        <f>IF(ISNUMBER(WA!L31),WA!L31,"")</f>
        <v>5561.2484999999997</v>
      </c>
      <c r="AI37" s="532" t="s">
        <v>757</v>
      </c>
      <c r="AJ37" s="651">
        <f>IF(ISNUMBER(WA!M31),WA!M31,"")</f>
        <v>4182.1600799999997</v>
      </c>
      <c r="AK37" s="534" t="s">
        <v>757</v>
      </c>
      <c r="AL37" s="652"/>
      <c r="AM37" s="647">
        <f>IF(ISNUMBER(ACT!K31),ACT!K31*1000000/AM$7,"")</f>
        <v>0</v>
      </c>
      <c r="AN37" s="653">
        <f>IF(ISNUMBER(ACT!L31),ACT!L31*1000000/AN$7,"")</f>
        <v>0</v>
      </c>
      <c r="AO37" s="654">
        <f>IF(ISNUMBER(NSW!K31),NSW!K31*1000000/AO$7,"")</f>
        <v>2427.7923478857915</v>
      </c>
      <c r="AP37" s="654">
        <f>IF(ISNUMBER(NSW!L31),NSW!L31*1000000/AP$7,"")</f>
        <v>2554.3174089594745</v>
      </c>
      <c r="AQ37" s="647">
        <f>IF(ISNUMBER(NT!K31),NT!K31*1000000/AQ$7,"")</f>
        <v>98.443364301975024</v>
      </c>
      <c r="AR37" s="653">
        <f>IF(ISNUMBER(NT!L31),NT!L31*1000000/AR$7,"")</f>
        <v>23.070452670864263</v>
      </c>
      <c r="AS37" s="654">
        <f>IF(ISNUMBER(Qld!K31),Qld!K31*1000000/AS$7,"")</f>
        <v>3017.6846503990969</v>
      </c>
      <c r="AT37" s="654">
        <f>IF(ISNUMBER(Qld!L31),Qld!L31*1000000/AT$7,"")</f>
        <v>2079.8031779049907</v>
      </c>
      <c r="AU37" s="647">
        <f>IF(ISNUMBER(SA!K31),SA!K31*1000000/AU$7,"")</f>
        <v>72.274660354275426</v>
      </c>
      <c r="AV37" s="653">
        <f>IF(ISNUMBER(SA!L31),SA!L31*1000000/AV$7,"")</f>
        <v>70.532720431037234</v>
      </c>
      <c r="AW37" s="654">
        <f>IF(ISNUMBER(TAS!K31),TAS!K31*1000000/AW$7,"")</f>
        <v>3136.9355572226518</v>
      </c>
      <c r="AX37" s="654">
        <f>IF(ISNUMBER(TAS!L31),TAS!L31*1000000/AX$7,"")</f>
        <v>3419.1936060149442</v>
      </c>
      <c r="AY37" s="647">
        <f>IF(ISNUMBER(Vic!K31),Vic!K31*1000000/AY$7,"")</f>
        <v>512.2370983903038</v>
      </c>
      <c r="AZ37" s="653">
        <f>IF(ISNUMBER(Vic!L31),Vic!L31*1000000/AZ$7,"")</f>
        <v>463.44742017489779</v>
      </c>
      <c r="BA37" s="647">
        <f>IF(ISNUMBER(WA!L31),WA!L31*1000000/BA$7,"")</f>
        <v>2175.3938006589651</v>
      </c>
      <c r="BB37" s="655">
        <f>IF(ISNUMBER(WA!M31),WA!M31*1000000/BB$7,"")</f>
        <v>1624.7651348538407</v>
      </c>
      <c r="BD37" s="647">
        <v>1.0448119860831044</v>
      </c>
      <c r="BE37" s="654">
        <v>2723.0166395366305</v>
      </c>
      <c r="BF37" s="654">
        <v>0</v>
      </c>
      <c r="BG37" s="654">
        <v>11690.832355175402</v>
      </c>
      <c r="BH37" s="654">
        <v>292.84197891380097</v>
      </c>
      <c r="BI37" s="654">
        <v>7362.9820802493186</v>
      </c>
      <c r="BJ37" s="654">
        <v>176.75369806924272</v>
      </c>
      <c r="BK37" s="653">
        <v>4386.7698588891526</v>
      </c>
      <c r="BM37" s="647">
        <f t="shared" si="0"/>
        <v>0</v>
      </c>
      <c r="BN37" s="654">
        <f t="shared" si="1"/>
        <v>2491.2505866876359</v>
      </c>
      <c r="BO37" s="654">
        <f t="shared" si="2"/>
        <v>60.671540852511882</v>
      </c>
      <c r="BP37" s="654">
        <f t="shared" si="3"/>
        <v>2547.1317648488671</v>
      </c>
      <c r="BQ37" s="654">
        <f t="shared" si="4"/>
        <v>71.402040838122545</v>
      </c>
      <c r="BR37" s="654">
        <f t="shared" si="5"/>
        <v>3278.1262687976314</v>
      </c>
      <c r="BS37" s="654">
        <f t="shared" si="6"/>
        <v>487.74121805246602</v>
      </c>
      <c r="BT37" s="653">
        <f t="shared" si="7"/>
        <v>1899.13628884217</v>
      </c>
    </row>
    <row r="38" spans="2:72">
      <c r="B38" s="1034"/>
      <c r="C38" s="1038"/>
      <c r="D38" s="648" t="s">
        <v>28</v>
      </c>
      <c r="E38" s="649" t="s">
        <v>96</v>
      </c>
      <c r="F38" s="650">
        <f>IF(ISNUMBER(ACT!K32),ACT!K32,"")</f>
        <v>0</v>
      </c>
      <c r="G38" s="532" t="s">
        <v>757</v>
      </c>
      <c r="H38" s="651">
        <f>IF(ISNUMBER(ACT!L32),ACT!L32,"")</f>
        <v>0</v>
      </c>
      <c r="I38" s="534" t="s">
        <v>757</v>
      </c>
      <c r="J38" s="651" t="str">
        <f>IF(ISNUMBER(NSW!K32),NSW!K32,"")</f>
        <v/>
      </c>
      <c r="K38" s="532" t="s">
        <v>757</v>
      </c>
      <c r="L38" s="651" t="str">
        <f>IF(ISNUMBER(NSW!L32),NSW!L32,"")</f>
        <v/>
      </c>
      <c r="M38" s="534" t="s">
        <v>757</v>
      </c>
      <c r="N38" s="650" t="str">
        <f>IF(ISNUMBER(NT!K32),NT!K32,"")</f>
        <v/>
      </c>
      <c r="O38" s="532" t="s">
        <v>757</v>
      </c>
      <c r="P38" s="651" t="str">
        <f>IF(ISNUMBER(NT!L32),NT!L32,"")</f>
        <v/>
      </c>
      <c r="Q38" s="534" t="s">
        <v>757</v>
      </c>
      <c r="R38" s="650">
        <f>IF(ISNUMBER(Qld!K32),Qld!K32,"")</f>
        <v>0</v>
      </c>
      <c r="S38" s="532" t="s">
        <v>757</v>
      </c>
      <c r="T38" s="651">
        <f>IF(ISNUMBER(Qld!L32),Qld!L32,"")</f>
        <v>9.9999999999999995E-7</v>
      </c>
      <c r="U38" s="534" t="s">
        <v>757</v>
      </c>
      <c r="V38" s="650">
        <f>IF(ISNUMBER(SA!K32),SA!K32,"")</f>
        <v>0</v>
      </c>
      <c r="W38" s="532" t="s">
        <v>757</v>
      </c>
      <c r="X38" s="651">
        <f>IF(ISNUMBER(SA!L32),SA!L32,"")</f>
        <v>0</v>
      </c>
      <c r="Y38" s="534" t="s">
        <v>757</v>
      </c>
      <c r="Z38" s="650" t="str">
        <f>IF(ISNUMBER(TAS!K32),TAS!K32,"")</f>
        <v/>
      </c>
      <c r="AA38" s="532" t="s">
        <v>757</v>
      </c>
      <c r="AB38" s="651" t="str">
        <f>IF(ISNUMBER(TAS!L32),TAS!L32,"")</f>
        <v/>
      </c>
      <c r="AC38" s="534" t="s">
        <v>757</v>
      </c>
      <c r="AD38" s="650">
        <f>IF(ISNUMBER(Vic!K32),Vic!K32,"")</f>
        <v>0</v>
      </c>
      <c r="AE38" s="539" t="s">
        <v>757</v>
      </c>
      <c r="AF38" s="651">
        <f>IF(ISNUMBER(Vic!L32),Vic!L32,"")</f>
        <v>2.2400000000000002</v>
      </c>
      <c r="AG38" s="540" t="s">
        <v>757</v>
      </c>
      <c r="AH38" s="650">
        <f>IF(ISNUMBER(WA!L32),WA!L32,"")</f>
        <v>1.4315</v>
      </c>
      <c r="AI38" s="532" t="s">
        <v>757</v>
      </c>
      <c r="AJ38" s="651" t="str">
        <f>IF(ISNUMBER(WA!M32),WA!M32,"")</f>
        <v/>
      </c>
      <c r="AK38" s="534" t="s">
        <v>757</v>
      </c>
      <c r="AL38" s="652"/>
      <c r="AM38" s="647">
        <f>IF(ISNUMBER(ACT!K32),ACT!K32*1000000/AM$7,"")</f>
        <v>0</v>
      </c>
      <c r="AN38" s="653">
        <f>IF(ISNUMBER(ACT!L32),ACT!L32*1000000/AN$7,"")</f>
        <v>0</v>
      </c>
      <c r="AO38" s="654" t="str">
        <f>IF(ISNUMBER(NSW!K32),NSW!K32*1000000/AO$7,"")</f>
        <v/>
      </c>
      <c r="AP38" s="654" t="str">
        <f>IF(ISNUMBER(NSW!L32),NSW!L32*1000000/AP$7,"")</f>
        <v/>
      </c>
      <c r="AQ38" s="647" t="str">
        <f>IF(ISNUMBER(NT!K32),NT!K32*1000000/AQ$7,"")</f>
        <v/>
      </c>
      <c r="AR38" s="653" t="str">
        <f>IF(ISNUMBER(NT!L32),NT!L32*1000000/AR$7,"")</f>
        <v/>
      </c>
      <c r="AS38" s="654">
        <f>IF(ISNUMBER(Qld!K32),Qld!K32*1000000/AS$7,"")</f>
        <v>0</v>
      </c>
      <c r="AT38" s="654">
        <f>IF(ISNUMBER(Qld!L32),Qld!L32*1000000/AT$7,"")</f>
        <v>2.1101066300183346E-7</v>
      </c>
      <c r="AU38" s="647">
        <f>IF(ISNUMBER(SA!K32),SA!K32*1000000/AU$7,"")</f>
        <v>0</v>
      </c>
      <c r="AV38" s="653">
        <f>IF(ISNUMBER(SA!L32),SA!L32*1000000/AV$7,"")</f>
        <v>0</v>
      </c>
      <c r="AW38" s="654" t="str">
        <f>IF(ISNUMBER(TAS!K32),TAS!K32*1000000/AW$7,"")</f>
        <v/>
      </c>
      <c r="AX38" s="654" t="str">
        <f>IF(ISNUMBER(TAS!L32),TAS!L32*1000000/AX$7,"")</f>
        <v/>
      </c>
      <c r="AY38" s="647">
        <f>IF(ISNUMBER(Vic!K32),Vic!K32*1000000/AY$7,"")</f>
        <v>0</v>
      </c>
      <c r="AZ38" s="653">
        <f>IF(ISNUMBER(Vic!L32),Vic!L32*1000000/AZ$7,"")</f>
        <v>0.3818730326719656</v>
      </c>
      <c r="BA38" s="647">
        <f>IF(ISNUMBER(WA!L32),WA!L32*1000000/BA$7,"")</f>
        <v>0.5599599128942554</v>
      </c>
      <c r="BB38" s="655" t="str">
        <f>IF(ISNUMBER(WA!M32),WA!M32*1000000/BB$7,"")</f>
        <v/>
      </c>
      <c r="BD38" s="647">
        <v>0</v>
      </c>
      <c r="BE38" s="654">
        <v>0</v>
      </c>
      <c r="BF38" s="654">
        <v>0</v>
      </c>
      <c r="BG38" s="654">
        <v>0.21392190951830561</v>
      </c>
      <c r="BH38" s="654">
        <v>1.5526513013905188</v>
      </c>
      <c r="BI38" s="654" t="s">
        <v>855</v>
      </c>
      <c r="BJ38" s="654">
        <v>0.45172444487324209</v>
      </c>
      <c r="BK38" s="653">
        <v>4.7695010510640123E-2</v>
      </c>
      <c r="BM38" s="647">
        <f t="shared" si="0"/>
        <v>0</v>
      </c>
      <c r="BN38" s="654" t="str">
        <f t="shared" si="1"/>
        <v/>
      </c>
      <c r="BO38" s="654" t="str">
        <f t="shared" si="2"/>
        <v/>
      </c>
      <c r="BP38" s="654">
        <f t="shared" si="3"/>
        <v>1.0586804331823902E-7</v>
      </c>
      <c r="BQ38" s="654">
        <f t="shared" si="4"/>
        <v>0</v>
      </c>
      <c r="BR38" s="654" t="str">
        <f t="shared" si="5"/>
        <v/>
      </c>
      <c r="BS38" s="654">
        <f t="shared" si="6"/>
        <v>0.1917273582186885</v>
      </c>
      <c r="BT38" s="653">
        <f t="shared" si="7"/>
        <v>0.27902079391990009</v>
      </c>
    </row>
    <row r="39" spans="2:72">
      <c r="B39" s="1034"/>
      <c r="C39" s="1038"/>
      <c r="D39" s="648" t="s">
        <v>29</v>
      </c>
      <c r="E39" s="649" t="s">
        <v>97</v>
      </c>
      <c r="F39" s="650">
        <f>IF(ISNUMBER(ACT!K33),ACT!K33,"")</f>
        <v>0</v>
      </c>
      <c r="G39" s="532" t="s">
        <v>757</v>
      </c>
      <c r="H39" s="651">
        <f>IF(ISNUMBER(ACT!L33),ACT!L33,"")</f>
        <v>0</v>
      </c>
      <c r="I39" s="534" t="s">
        <v>757</v>
      </c>
      <c r="J39" s="651" t="str">
        <f>IF(ISNUMBER(NSW!K33),NSW!K33,"")</f>
        <v/>
      </c>
      <c r="K39" s="532" t="s">
        <v>757</v>
      </c>
      <c r="L39" s="651" t="str">
        <f>IF(ISNUMBER(NSW!L33),NSW!L33,"")</f>
        <v/>
      </c>
      <c r="M39" s="534" t="s">
        <v>757</v>
      </c>
      <c r="N39" s="650" t="str">
        <f>IF(ISNUMBER(NT!K33),NT!K33,"")</f>
        <v/>
      </c>
      <c r="O39" s="532" t="s">
        <v>757</v>
      </c>
      <c r="P39" s="651" t="str">
        <f>IF(ISNUMBER(NT!L33),NT!L33,"")</f>
        <v/>
      </c>
      <c r="Q39" s="534" t="s">
        <v>757</v>
      </c>
      <c r="R39" s="650">
        <f>IF(ISNUMBER(Qld!K33),Qld!K33,"")</f>
        <v>326.60199999999998</v>
      </c>
      <c r="S39" s="532" t="s">
        <v>757</v>
      </c>
      <c r="T39" s="651">
        <f>IF(ISNUMBER(Qld!L33),Qld!L33,"")</f>
        <v>328.70500099999998</v>
      </c>
      <c r="U39" s="534" t="s">
        <v>757</v>
      </c>
      <c r="V39" s="650">
        <f>IF(ISNUMBER(SA!K33),SA!K33,"")</f>
        <v>0.5</v>
      </c>
      <c r="W39" s="532" t="s">
        <v>757</v>
      </c>
      <c r="X39" s="651">
        <f>IF(ISNUMBER(SA!L33),SA!L33,"")</f>
        <v>0.41</v>
      </c>
      <c r="Y39" s="534" t="s">
        <v>757</v>
      </c>
      <c r="Z39" s="650" t="str">
        <f>IF(ISNUMBER(TAS!K33),TAS!K33,"")</f>
        <v/>
      </c>
      <c r="AA39" s="532" t="s">
        <v>757</v>
      </c>
      <c r="AB39" s="651" t="str">
        <f>IF(ISNUMBER(TAS!L33),TAS!L33,"")</f>
        <v/>
      </c>
      <c r="AC39" s="534" t="s">
        <v>757</v>
      </c>
      <c r="AD39" s="650">
        <f>IF(ISNUMBER(Vic!K33),Vic!K33,"")</f>
        <v>0</v>
      </c>
      <c r="AE39" s="539" t="s">
        <v>757</v>
      </c>
      <c r="AF39" s="651">
        <f>IF(ISNUMBER(Vic!L33),Vic!L33,"")</f>
        <v>0</v>
      </c>
      <c r="AG39" s="540" t="s">
        <v>757</v>
      </c>
      <c r="AH39" s="650">
        <f>IF(ISNUMBER(WA!L33),WA!L33,"")</f>
        <v>26.992000000000001</v>
      </c>
      <c r="AI39" s="532" t="s">
        <v>757</v>
      </c>
      <c r="AJ39" s="651">
        <f>IF(ISNUMBER(WA!M33),WA!M33,"")</f>
        <v>17.404</v>
      </c>
      <c r="AK39" s="534" t="s">
        <v>757</v>
      </c>
      <c r="AL39" s="652"/>
      <c r="AM39" s="647">
        <f>IF(ISNUMBER(ACT!K33),ACT!K33*1000000/AM$7,"")</f>
        <v>0</v>
      </c>
      <c r="AN39" s="653">
        <f>IF(ISNUMBER(ACT!L33),ACT!L33*1000000/AN$7,"")</f>
        <v>0</v>
      </c>
      <c r="AO39" s="654" t="str">
        <f>IF(ISNUMBER(NSW!K33),NSW!K33*1000000/AO$7,"")</f>
        <v/>
      </c>
      <c r="AP39" s="654" t="str">
        <f>IF(ISNUMBER(NSW!L33),NSW!L33*1000000/AP$7,"")</f>
        <v/>
      </c>
      <c r="AQ39" s="647" t="str">
        <f>IF(ISNUMBER(NT!K33),NT!K33*1000000/AQ$7,"")</f>
        <v/>
      </c>
      <c r="AR39" s="653" t="str">
        <f>IF(ISNUMBER(NT!L33),NT!L33*1000000/AR$7,"")</f>
        <v/>
      </c>
      <c r="AS39" s="654">
        <f>IF(ISNUMBER(Qld!K33),Qld!K33*1000000/AS$7,"")</f>
        <v>69.391988822561558</v>
      </c>
      <c r="AT39" s="654">
        <f>IF(ISNUMBER(Qld!L33),Qld!L33*1000000/AT$7,"")</f>
        <v>69.360260193028338</v>
      </c>
      <c r="AU39" s="647">
        <f>IF(ISNUMBER(SA!K33),SA!K33*1000000/AU$7,"")</f>
        <v>0.29723087824590982</v>
      </c>
      <c r="AV39" s="653">
        <f>IF(ISNUMBER(SA!L33),SA!L33*1000000/AV$7,"")</f>
        <v>0.24280785370886035</v>
      </c>
      <c r="AW39" s="654" t="str">
        <f>IF(ISNUMBER(TAS!K33),TAS!K33*1000000/AW$7,"")</f>
        <v/>
      </c>
      <c r="AX39" s="654" t="str">
        <f>IF(ISNUMBER(TAS!L33),TAS!L33*1000000/AX$7,"")</f>
        <v/>
      </c>
      <c r="AY39" s="647">
        <f>IF(ISNUMBER(Vic!K33),Vic!K33*1000000/AY$7,"")</f>
        <v>0</v>
      </c>
      <c r="AZ39" s="653">
        <f>IF(ISNUMBER(Vic!L33),Vic!L33*1000000/AZ$7,"")</f>
        <v>0</v>
      </c>
      <c r="BA39" s="647">
        <f>IF(ISNUMBER(WA!L33),WA!L33*1000000/BA$7,"")</f>
        <v>10.558461731639358</v>
      </c>
      <c r="BB39" s="655">
        <f>IF(ISNUMBER(WA!M33),WA!M33*1000000/BB$7,"")</f>
        <v>6.7614371200722294</v>
      </c>
      <c r="BD39" s="647">
        <v>0</v>
      </c>
      <c r="BE39" s="654">
        <v>6.433834982833174E-2</v>
      </c>
      <c r="BF39" s="654">
        <v>0</v>
      </c>
      <c r="BG39" s="654">
        <v>170.06791806705297</v>
      </c>
      <c r="BH39" s="654">
        <v>2.3886943098315672E-2</v>
      </c>
      <c r="BI39" s="654" t="s">
        <v>855</v>
      </c>
      <c r="BJ39" s="654">
        <v>12.311388033931388</v>
      </c>
      <c r="BK39" s="653">
        <v>7.8674148575765814</v>
      </c>
      <c r="BM39" s="647">
        <f t="shared" si="0"/>
        <v>0</v>
      </c>
      <c r="BN39" s="654" t="str">
        <f t="shared" si="1"/>
        <v/>
      </c>
      <c r="BO39" s="654" t="str">
        <f t="shared" si="2"/>
        <v/>
      </c>
      <c r="BP39" s="654">
        <f t="shared" si="3"/>
        <v>69.376069968613308</v>
      </c>
      <c r="BQ39" s="654">
        <f t="shared" si="4"/>
        <v>0.2699678293281183</v>
      </c>
      <c r="BR39" s="654" t="str">
        <f t="shared" si="5"/>
        <v/>
      </c>
      <c r="BS39" s="654">
        <f t="shared" si="6"/>
        <v>0</v>
      </c>
      <c r="BT39" s="653">
        <f t="shared" si="7"/>
        <v>8.6534454536275813</v>
      </c>
    </row>
    <row r="40" spans="2:72">
      <c r="B40" s="1034"/>
      <c r="C40" s="1038"/>
      <c r="D40" s="648" t="s">
        <v>99</v>
      </c>
      <c r="E40" s="649" t="s">
        <v>98</v>
      </c>
      <c r="F40" s="650">
        <f>IF(ISNUMBER(ACT!K34),ACT!K34,"")</f>
        <v>0</v>
      </c>
      <c r="G40" s="532" t="s">
        <v>757</v>
      </c>
      <c r="H40" s="651">
        <f>IF(ISNUMBER(ACT!L34),ACT!L34,"")</f>
        <v>0</v>
      </c>
      <c r="I40" s="534" t="s">
        <v>757</v>
      </c>
      <c r="J40" s="651" t="str">
        <f>IF(ISNUMBER(NSW!K34),NSW!K34,"")</f>
        <v/>
      </c>
      <c r="K40" s="532" t="s">
        <v>757</v>
      </c>
      <c r="L40" s="651" t="str">
        <f>IF(ISNUMBER(NSW!L34),NSW!L34,"")</f>
        <v/>
      </c>
      <c r="M40" s="534" t="s">
        <v>757</v>
      </c>
      <c r="N40" s="650" t="str">
        <f>IF(ISNUMBER(NT!K34),NT!K34,"")</f>
        <v/>
      </c>
      <c r="O40" s="532" t="s">
        <v>757</v>
      </c>
      <c r="P40" s="651" t="str">
        <f>IF(ISNUMBER(NT!L34),NT!L34,"")</f>
        <v/>
      </c>
      <c r="Q40" s="534" t="s">
        <v>757</v>
      </c>
      <c r="R40" s="650">
        <f>IF(ISNUMBER(Qld!K34),Qld!K34,"")</f>
        <v>0.04</v>
      </c>
      <c r="S40" s="532" t="s">
        <v>757</v>
      </c>
      <c r="T40" s="651">
        <f>IF(ISNUMBER(Qld!L34),Qld!L34,"")</f>
        <v>9.9999999999999995E-7</v>
      </c>
      <c r="U40" s="534" t="s">
        <v>757</v>
      </c>
      <c r="V40" s="650">
        <f>IF(ISNUMBER(SA!K34),SA!K34,"")</f>
        <v>0.79</v>
      </c>
      <c r="W40" s="532" t="s">
        <v>757</v>
      </c>
      <c r="X40" s="651">
        <f>IF(ISNUMBER(SA!L34),SA!L34,"")</f>
        <v>0.28999999999999998</v>
      </c>
      <c r="Y40" s="534" t="s">
        <v>757</v>
      </c>
      <c r="Z40" s="650" t="str">
        <f>IF(ISNUMBER(TAS!K34),TAS!K34,"")</f>
        <v/>
      </c>
      <c r="AA40" s="532" t="s">
        <v>757</v>
      </c>
      <c r="AB40" s="651" t="str">
        <f>IF(ISNUMBER(TAS!L34),TAS!L34,"")</f>
        <v/>
      </c>
      <c r="AC40" s="534" t="s">
        <v>757</v>
      </c>
      <c r="AD40" s="650">
        <f>IF(ISNUMBER(Vic!K34),Vic!K34,"")</f>
        <v>0</v>
      </c>
      <c r="AE40" s="539" t="s">
        <v>757</v>
      </c>
      <c r="AF40" s="651">
        <f>IF(ISNUMBER(Vic!L34),Vic!L34,"")</f>
        <v>7.0000000000000007E-2</v>
      </c>
      <c r="AG40" s="540" t="s">
        <v>757</v>
      </c>
      <c r="AH40" s="650">
        <f>IF(ISNUMBER(WA!L34),WA!L34,"")</f>
        <v>6.6950000000000003</v>
      </c>
      <c r="AI40" s="532" t="s">
        <v>757</v>
      </c>
      <c r="AJ40" s="651">
        <f>IF(ISNUMBER(WA!M34),WA!M34,"")</f>
        <v>1.165</v>
      </c>
      <c r="AK40" s="534" t="s">
        <v>757</v>
      </c>
      <c r="AL40" s="652"/>
      <c r="AM40" s="647">
        <f>IF(ISNUMBER(ACT!K34),ACT!K34*1000000/AM$7,"")</f>
        <v>0</v>
      </c>
      <c r="AN40" s="653">
        <f>IF(ISNUMBER(ACT!L34),ACT!L34*1000000/AN$7,"")</f>
        <v>0</v>
      </c>
      <c r="AO40" s="654" t="str">
        <f>IF(ISNUMBER(NSW!K34),NSW!K34*1000000/AO$7,"")</f>
        <v/>
      </c>
      <c r="AP40" s="654" t="str">
        <f>IF(ISNUMBER(NSW!L34),NSW!L34*1000000/AP$7,"")</f>
        <v/>
      </c>
      <c r="AQ40" s="647" t="str">
        <f>IF(ISNUMBER(NT!K34),NT!K34*1000000/AQ$7,"")</f>
        <v/>
      </c>
      <c r="AR40" s="653" t="str">
        <f>IF(ISNUMBER(NT!L34),NT!L34*1000000/AR$7,"")</f>
        <v/>
      </c>
      <c r="AS40" s="654">
        <f>IF(ISNUMBER(Qld!K34),Qld!K34*1000000/AS$7,"")</f>
        <v>8.4986606110876925E-3</v>
      </c>
      <c r="AT40" s="654">
        <f>IF(ISNUMBER(Qld!L34),Qld!L34*1000000/AT$7,"")</f>
        <v>2.1101066300183346E-7</v>
      </c>
      <c r="AU40" s="647">
        <f>IF(ISNUMBER(SA!K34),SA!K34*1000000/AU$7,"")</f>
        <v>0.46962478762853749</v>
      </c>
      <c r="AV40" s="653">
        <f>IF(ISNUMBER(SA!L34),SA!L34*1000000/AV$7,"")</f>
        <v>0.17174214042821831</v>
      </c>
      <c r="AW40" s="654" t="str">
        <f>IF(ISNUMBER(TAS!K34),TAS!K34*1000000/AW$7,"")</f>
        <v/>
      </c>
      <c r="AX40" s="654" t="str">
        <f>IF(ISNUMBER(TAS!L34),TAS!L34*1000000/AX$7,"")</f>
        <v/>
      </c>
      <c r="AY40" s="647">
        <f>IF(ISNUMBER(Vic!K34),Vic!K34*1000000/AY$7,"")</f>
        <v>0</v>
      </c>
      <c r="AZ40" s="653">
        <f>IF(ISNUMBER(Vic!L34),Vic!L34*1000000/AZ$7,"")</f>
        <v>1.1933532270998925E-2</v>
      </c>
      <c r="BA40" s="647">
        <f>IF(ISNUMBER(WA!L34),WA!L34*1000000/BA$7,"")</f>
        <v>2.6188834207663567</v>
      </c>
      <c r="BB40" s="655">
        <f>IF(ISNUMBER(WA!M34),WA!M34*1000000/BB$7,"")</f>
        <v>0.45260137008067958</v>
      </c>
      <c r="BD40" s="647">
        <v>0</v>
      </c>
      <c r="BE40" s="654">
        <v>0</v>
      </c>
      <c r="BF40" s="654">
        <v>0</v>
      </c>
      <c r="BG40" s="654">
        <v>0</v>
      </c>
      <c r="BH40" s="654">
        <v>0.56134316281041829</v>
      </c>
      <c r="BI40" s="654" t="s">
        <v>855</v>
      </c>
      <c r="BJ40" s="654">
        <v>7.9648205845419318E-2</v>
      </c>
      <c r="BK40" s="653">
        <v>3.3942749194022701</v>
      </c>
      <c r="BM40" s="647">
        <f t="shared" si="0"/>
        <v>0</v>
      </c>
      <c r="BN40" s="654" t="str">
        <f t="shared" si="1"/>
        <v/>
      </c>
      <c r="BO40" s="654" t="str">
        <f t="shared" si="2"/>
        <v/>
      </c>
      <c r="BP40" s="654">
        <f t="shared" si="3"/>
        <v>4.2348276007728794E-3</v>
      </c>
      <c r="BQ40" s="654">
        <f t="shared" si="4"/>
        <v>0.32040137986194261</v>
      </c>
      <c r="BR40" s="654" t="str">
        <f t="shared" si="5"/>
        <v/>
      </c>
      <c r="BS40" s="654">
        <f t="shared" si="6"/>
        <v>5.9914799443340156E-3</v>
      </c>
      <c r="BT40" s="653">
        <f t="shared" si="7"/>
        <v>1.5320317430739885</v>
      </c>
    </row>
    <row r="41" spans="2:72">
      <c r="B41" s="1034"/>
      <c r="C41" s="1038"/>
      <c r="D41" s="648" t="s">
        <v>101</v>
      </c>
      <c r="E41" s="649" t="s">
        <v>100</v>
      </c>
      <c r="F41" s="650">
        <f>IF(ISNUMBER(ACT!K35),ACT!K35,"")</f>
        <v>0</v>
      </c>
      <c r="G41" s="532" t="s">
        <v>757</v>
      </c>
      <c r="H41" s="651">
        <f>IF(ISNUMBER(ACT!L35),ACT!L35,"")</f>
        <v>0</v>
      </c>
      <c r="I41" s="534" t="s">
        <v>757</v>
      </c>
      <c r="J41" s="651" t="str">
        <f>IF(ISNUMBER(NSW!K35),NSW!K35,"")</f>
        <v/>
      </c>
      <c r="K41" s="532" t="s">
        <v>757</v>
      </c>
      <c r="L41" s="651" t="str">
        <f>IF(ISNUMBER(NSW!L35),NSW!L35,"")</f>
        <v/>
      </c>
      <c r="M41" s="534" t="s">
        <v>757</v>
      </c>
      <c r="N41" s="650" t="str">
        <f>IF(ISNUMBER(NT!K35),NT!K35,"")</f>
        <v/>
      </c>
      <c r="O41" s="532" t="s">
        <v>757</v>
      </c>
      <c r="P41" s="651" t="str">
        <f>IF(ISNUMBER(NT!L35),NT!L35,"")</f>
        <v/>
      </c>
      <c r="Q41" s="534" t="s">
        <v>757</v>
      </c>
      <c r="R41" s="650">
        <f>IF(ISNUMBER(Qld!K35),Qld!K35,"")</f>
        <v>10.848000000000001</v>
      </c>
      <c r="S41" s="532" t="s">
        <v>757</v>
      </c>
      <c r="T41" s="651">
        <f>IF(ISNUMBER(Qld!L35),Qld!L35,"")</f>
        <v>3.6070010000000003</v>
      </c>
      <c r="U41" s="534" t="s">
        <v>757</v>
      </c>
      <c r="V41" s="650">
        <f>IF(ISNUMBER(SA!K35),SA!K35,"")</f>
        <v>0</v>
      </c>
      <c r="W41" s="532" t="s">
        <v>757</v>
      </c>
      <c r="X41" s="651">
        <f>IF(ISNUMBER(SA!L35),SA!L35,"")</f>
        <v>0</v>
      </c>
      <c r="Y41" s="534" t="s">
        <v>757</v>
      </c>
      <c r="Z41" s="650" t="str">
        <f>IF(ISNUMBER(TAS!K35),TAS!K35,"")</f>
        <v/>
      </c>
      <c r="AA41" s="532" t="s">
        <v>757</v>
      </c>
      <c r="AB41" s="651" t="str">
        <f>IF(ISNUMBER(TAS!L35),TAS!L35,"")</f>
        <v/>
      </c>
      <c r="AC41" s="534" t="s">
        <v>757</v>
      </c>
      <c r="AD41" s="650">
        <f>IF(ISNUMBER(Vic!K35),Vic!K35,"")</f>
        <v>0</v>
      </c>
      <c r="AE41" s="539" t="s">
        <v>757</v>
      </c>
      <c r="AF41" s="651">
        <f>IF(ISNUMBER(Vic!L35),Vic!L35,"")</f>
        <v>7.0000000000000007E-2</v>
      </c>
      <c r="AG41" s="540" t="s">
        <v>757</v>
      </c>
      <c r="AH41" s="650">
        <f>IF(ISNUMBER(WA!L35),WA!L35,"")</f>
        <v>1.61557</v>
      </c>
      <c r="AI41" s="532" t="s">
        <v>757</v>
      </c>
      <c r="AJ41" s="651">
        <f>IF(ISNUMBER(WA!M35),WA!M35,"")</f>
        <v>3.8849999999999998</v>
      </c>
      <c r="AK41" s="534" t="s">
        <v>757</v>
      </c>
      <c r="AL41" s="652"/>
      <c r="AM41" s="647">
        <f>IF(ISNUMBER(ACT!K35),ACT!K35*1000000/AM$7,"")</f>
        <v>0</v>
      </c>
      <c r="AN41" s="653">
        <f>IF(ISNUMBER(ACT!L35),ACT!L35*1000000/AN$7,"")</f>
        <v>0</v>
      </c>
      <c r="AO41" s="654" t="str">
        <f>IF(ISNUMBER(NSW!K35),NSW!K35*1000000/AO$7,"")</f>
        <v/>
      </c>
      <c r="AP41" s="654" t="str">
        <f>IF(ISNUMBER(NSW!L35),NSW!L35*1000000/AP$7,"")</f>
        <v/>
      </c>
      <c r="AQ41" s="647" t="str">
        <f>IF(ISNUMBER(NT!K35),NT!K35*1000000/AQ$7,"")</f>
        <v/>
      </c>
      <c r="AR41" s="653" t="str">
        <f>IF(ISNUMBER(NT!L35),NT!L35*1000000/AR$7,"")</f>
        <v/>
      </c>
      <c r="AS41" s="654">
        <f>IF(ISNUMBER(Qld!K35),Qld!K35*1000000/AS$7,"")</f>
        <v>2.3048367577269824</v>
      </c>
      <c r="AT41" s="654">
        <f>IF(ISNUMBER(Qld!L35),Qld!L35*1000000/AT$7,"")</f>
        <v>0.76111567245827638</v>
      </c>
      <c r="AU41" s="647">
        <f>IF(ISNUMBER(SA!K35),SA!K35*1000000/AU$7,"")</f>
        <v>0</v>
      </c>
      <c r="AV41" s="653">
        <f>IF(ISNUMBER(SA!L35),SA!L35*1000000/AV$7,"")</f>
        <v>0</v>
      </c>
      <c r="AW41" s="654" t="str">
        <f>IF(ISNUMBER(TAS!K35),TAS!K35*1000000/AW$7,"")</f>
        <v/>
      </c>
      <c r="AX41" s="654" t="str">
        <f>IF(ISNUMBER(TAS!L35),TAS!L35*1000000/AX$7,"")</f>
        <v/>
      </c>
      <c r="AY41" s="647">
        <f>IF(ISNUMBER(Vic!K35),Vic!K35*1000000/AY$7,"")</f>
        <v>0</v>
      </c>
      <c r="AZ41" s="653">
        <f>IF(ISNUMBER(Vic!L35),Vic!L35*1000000/AZ$7,"")</f>
        <v>1.1933532270998925E-2</v>
      </c>
      <c r="BA41" s="647">
        <f>IF(ISNUMBER(WA!L35),WA!L35*1000000/BA$7,"")</f>
        <v>0.63196258223861135</v>
      </c>
      <c r="BB41" s="655">
        <f>IF(ISNUMBER(WA!M35),WA!M35*1000000/BB$7,"")</f>
        <v>1.5093187319857857</v>
      </c>
      <c r="BD41" s="647">
        <v>0</v>
      </c>
      <c r="BE41" s="654">
        <v>0</v>
      </c>
      <c r="BF41" s="654">
        <v>0</v>
      </c>
      <c r="BG41" s="654">
        <v>0</v>
      </c>
      <c r="BH41" s="654">
        <v>0.31053026027810371</v>
      </c>
      <c r="BI41" s="654" t="s">
        <v>855</v>
      </c>
      <c r="BJ41" s="654">
        <v>7.9648205845419318E-2</v>
      </c>
      <c r="BK41" s="653">
        <v>2.6326348484710107</v>
      </c>
      <c r="BM41" s="647">
        <f t="shared" si="0"/>
        <v>0</v>
      </c>
      <c r="BN41" s="654" t="str">
        <f t="shared" si="1"/>
        <v/>
      </c>
      <c r="BO41" s="654" t="str">
        <f t="shared" si="2"/>
        <v/>
      </c>
      <c r="BP41" s="654">
        <f t="shared" si="3"/>
        <v>1.5303226720331884</v>
      </c>
      <c r="BQ41" s="654">
        <f t="shared" si="4"/>
        <v>0</v>
      </c>
      <c r="BR41" s="654" t="str">
        <f t="shared" si="5"/>
        <v/>
      </c>
      <c r="BS41" s="654">
        <f t="shared" si="6"/>
        <v>5.9914799443340156E-3</v>
      </c>
      <c r="BT41" s="653">
        <f t="shared" si="7"/>
        <v>1.0721434917303421</v>
      </c>
    </row>
    <row r="42" spans="2:72">
      <c r="B42" s="1035"/>
      <c r="C42" s="1037"/>
      <c r="D42" s="667" t="s">
        <v>30</v>
      </c>
      <c r="E42" s="668" t="s">
        <v>151</v>
      </c>
      <c r="F42" s="656">
        <f>IF(ISNUMBER(ACT!K36),ACT!K36,"")</f>
        <v>0</v>
      </c>
      <c r="G42" s="535" t="s">
        <v>757</v>
      </c>
      <c r="H42" s="657">
        <f>IF(ISNUMBER(ACT!L36),ACT!L36,"")</f>
        <v>0</v>
      </c>
      <c r="I42" s="536" t="s">
        <v>757</v>
      </c>
      <c r="J42" s="657" t="str">
        <f>IF(ISNUMBER(NSW!K36),NSW!K36,"")</f>
        <v/>
      </c>
      <c r="K42" s="535" t="s">
        <v>757</v>
      </c>
      <c r="L42" s="657" t="str">
        <f>IF(ISNUMBER(NSW!L36),NSW!L36,"")</f>
        <v/>
      </c>
      <c r="M42" s="536" t="s">
        <v>757</v>
      </c>
      <c r="N42" s="656" t="str">
        <f>IF(ISNUMBER(NT!K36),NT!K36,"")</f>
        <v/>
      </c>
      <c r="O42" s="535" t="s">
        <v>757</v>
      </c>
      <c r="P42" s="657" t="str">
        <f>IF(ISNUMBER(NT!L36),NT!L36,"")</f>
        <v/>
      </c>
      <c r="Q42" s="536" t="s">
        <v>757</v>
      </c>
      <c r="R42" s="656">
        <f>IF(ISNUMBER(Qld!K36),Qld!K36,"")</f>
        <v>66.614999999999995</v>
      </c>
      <c r="S42" s="535" t="s">
        <v>757</v>
      </c>
      <c r="T42" s="657">
        <f>IF(ISNUMBER(Qld!L36),Qld!L36,"")</f>
        <v>74.453001</v>
      </c>
      <c r="U42" s="536" t="s">
        <v>757</v>
      </c>
      <c r="V42" s="656">
        <f>IF(ISNUMBER(SA!K36),SA!K36,"")</f>
        <v>2.67</v>
      </c>
      <c r="W42" s="535" t="s">
        <v>757</v>
      </c>
      <c r="X42" s="657">
        <f>IF(ISNUMBER(SA!L36),SA!L36,"")</f>
        <v>2.87</v>
      </c>
      <c r="Y42" s="536" t="s">
        <v>757</v>
      </c>
      <c r="Z42" s="656" t="str">
        <f>IF(ISNUMBER(TAS!K36),TAS!K36,"")</f>
        <v/>
      </c>
      <c r="AA42" s="535" t="s">
        <v>757</v>
      </c>
      <c r="AB42" s="657" t="str">
        <f>IF(ISNUMBER(TAS!L36),TAS!L36,"")</f>
        <v/>
      </c>
      <c r="AC42" s="536" t="s">
        <v>757</v>
      </c>
      <c r="AD42" s="656">
        <f>IF(ISNUMBER(Vic!K36),Vic!K36,"")</f>
        <v>0</v>
      </c>
      <c r="AE42" s="537" t="s">
        <v>757</v>
      </c>
      <c r="AF42" s="657">
        <f>IF(ISNUMBER(Vic!L36),Vic!L36,"")</f>
        <v>0</v>
      </c>
      <c r="AG42" s="538" t="s">
        <v>757</v>
      </c>
      <c r="AH42" s="656">
        <f>IF(ISNUMBER(WA!L36),WA!L36,"")</f>
        <v>186.30700000000002</v>
      </c>
      <c r="AI42" s="535" t="s">
        <v>757</v>
      </c>
      <c r="AJ42" s="657">
        <f>IF(ISNUMBER(WA!M36),WA!M36,"")</f>
        <v>7.2640000000000002</v>
      </c>
      <c r="AK42" s="536" t="s">
        <v>757</v>
      </c>
      <c r="AL42" s="652"/>
      <c r="AM42" s="669">
        <f>IF(ISNUMBER(ACT!K36),ACT!K36*1000000/AM$7,"")</f>
        <v>0</v>
      </c>
      <c r="AN42" s="670">
        <f>IF(ISNUMBER(ACT!L36),ACT!L36*1000000/AN$7,"")</f>
        <v>0</v>
      </c>
      <c r="AO42" s="671" t="str">
        <f>IF(ISNUMBER(NSW!K36),NSW!K36*1000000/AO$7,"")</f>
        <v/>
      </c>
      <c r="AP42" s="671" t="str">
        <f>IF(ISNUMBER(NSW!L36),NSW!L36*1000000/AP$7,"")</f>
        <v/>
      </c>
      <c r="AQ42" s="669" t="str">
        <f>IF(ISNUMBER(NT!K36),NT!K36*1000000/AQ$7,"")</f>
        <v/>
      </c>
      <c r="AR42" s="670" t="str">
        <f>IF(ISNUMBER(NT!L36),NT!L36*1000000/AR$7,"")</f>
        <v/>
      </c>
      <c r="AS42" s="671">
        <f>IF(ISNUMBER(Qld!K36),Qld!K36*1000000/AS$7,"")</f>
        <v>14.153456915190164</v>
      </c>
      <c r="AT42" s="671">
        <f>IF(ISNUMBER(Qld!L36),Qld!L36*1000000/AT$7,"")</f>
        <v>15.71037710348617</v>
      </c>
      <c r="AU42" s="669">
        <f>IF(ISNUMBER(SA!K36),SA!K36*1000000/AU$7,"")</f>
        <v>1.5872128898331583</v>
      </c>
      <c r="AV42" s="670">
        <f>IF(ISNUMBER(SA!L36),SA!L36*1000000/AV$7,"")</f>
        <v>1.6996549759620225</v>
      </c>
      <c r="AW42" s="671" t="str">
        <f>IF(ISNUMBER(TAS!K36),TAS!K36*1000000/AW$7,"")</f>
        <v/>
      </c>
      <c r="AX42" s="671" t="str">
        <f>IF(ISNUMBER(TAS!L36),TAS!L36*1000000/AX$7,"")</f>
        <v/>
      </c>
      <c r="AY42" s="669">
        <f>IF(ISNUMBER(Vic!K36),Vic!K36*1000000/AY$7,"")</f>
        <v>0</v>
      </c>
      <c r="AZ42" s="670">
        <f>IF(ISNUMBER(Vic!L36),Vic!L36*1000000/AZ$7,"")</f>
        <v>0</v>
      </c>
      <c r="BA42" s="669">
        <f>IF(ISNUMBER(WA!L36),WA!L36*1000000/BA$7,"")</f>
        <v>72.877716724827138</v>
      </c>
      <c r="BB42" s="672">
        <f>IF(ISNUMBER(WA!M36),WA!M36*1000000/BB$7,"")</f>
        <v>2.8220569547348124</v>
      </c>
      <c r="BD42" s="669">
        <v>0</v>
      </c>
      <c r="BE42" s="671">
        <v>0</v>
      </c>
      <c r="BF42" s="671">
        <v>0</v>
      </c>
      <c r="BG42" s="671">
        <v>198.09168821395102</v>
      </c>
      <c r="BH42" s="671">
        <v>7.1123373075234912</v>
      </c>
      <c r="BI42" s="671" t="s">
        <v>855</v>
      </c>
      <c r="BJ42" s="671">
        <v>0</v>
      </c>
      <c r="BK42" s="670">
        <v>0.80701145420298981</v>
      </c>
      <c r="BM42" s="669">
        <f t="shared" si="0"/>
        <v>0</v>
      </c>
      <c r="BN42" s="671" t="str">
        <f t="shared" si="1"/>
        <v/>
      </c>
      <c r="BO42" s="671" t="str">
        <f t="shared" si="2"/>
        <v/>
      </c>
      <c r="BP42" s="671">
        <f t="shared" si="3"/>
        <v>14.934593240685386</v>
      </c>
      <c r="BQ42" s="671">
        <f t="shared" si="4"/>
        <v>1.6435404115140388</v>
      </c>
      <c r="BR42" s="671" t="str">
        <f t="shared" si="5"/>
        <v/>
      </c>
      <c r="BS42" s="671">
        <f t="shared" si="6"/>
        <v>0</v>
      </c>
      <c r="BT42" s="670">
        <f t="shared" si="7"/>
        <v>37.729887600327622</v>
      </c>
    </row>
    <row r="43" spans="2:72">
      <c r="B43" s="658" t="s">
        <v>31</v>
      </c>
      <c r="C43" s="659" t="s">
        <v>32</v>
      </c>
      <c r="D43" s="648" t="s">
        <v>33</v>
      </c>
      <c r="E43" s="649" t="s">
        <v>102</v>
      </c>
      <c r="F43" s="651">
        <f>IF(ISNUMBER(ACT!K37),ACT!K37,"")</f>
        <v>0.193</v>
      </c>
      <c r="G43" s="532" t="s">
        <v>757</v>
      </c>
      <c r="H43" s="651">
        <f>IF(ISNUMBER(ACT!L37),ACT!L37,"")</f>
        <v>0</v>
      </c>
      <c r="I43" s="534" t="s">
        <v>757</v>
      </c>
      <c r="J43" s="651">
        <f>IF(ISNUMBER(NSW!K37),NSW!K37,"")</f>
        <v>27.972249999999999</v>
      </c>
      <c r="K43" s="532" t="s">
        <v>757</v>
      </c>
      <c r="L43" s="651">
        <f>IF(ISNUMBER(NSW!L37),NSW!L37,"")</f>
        <v>33.593999999999994</v>
      </c>
      <c r="M43" s="534" t="s">
        <v>757</v>
      </c>
      <c r="N43" s="650" t="str">
        <f>IF(ISNUMBER(NT!K37),NT!K37,"")</f>
        <v/>
      </c>
      <c r="O43" s="532" t="s">
        <v>757</v>
      </c>
      <c r="P43" s="651" t="str">
        <f>IF(ISNUMBER(NT!L37),NT!L37,"")</f>
        <v/>
      </c>
      <c r="Q43" s="534" t="s">
        <v>757</v>
      </c>
      <c r="R43" s="650">
        <f>IF(ISNUMBER(Qld!K37),Qld!K37,"")</f>
        <v>33.189</v>
      </c>
      <c r="S43" s="532" t="s">
        <v>757</v>
      </c>
      <c r="T43" s="651">
        <f>IF(ISNUMBER(Qld!L37),Qld!L37,"")</f>
        <v>177.47700100000003</v>
      </c>
      <c r="U43" s="534" t="s">
        <v>757</v>
      </c>
      <c r="V43" s="650">
        <f>IF(ISNUMBER(SA!K37),SA!K37,"")</f>
        <v>3.87</v>
      </c>
      <c r="W43" s="532" t="s">
        <v>757</v>
      </c>
      <c r="X43" s="651">
        <f>IF(ISNUMBER(SA!L37),SA!L37,"")</f>
        <v>57.31</v>
      </c>
      <c r="Y43" s="534" t="s">
        <v>757</v>
      </c>
      <c r="Z43" s="650" t="str">
        <f>IF(ISNUMBER(TAS!K37),TAS!K37,"")</f>
        <v/>
      </c>
      <c r="AA43" s="532" t="s">
        <v>757</v>
      </c>
      <c r="AB43" s="651">
        <f>IF(ISNUMBER(TAS!L37),TAS!L37,"")</f>
        <v>2.7</v>
      </c>
      <c r="AC43" s="534" t="s">
        <v>757</v>
      </c>
      <c r="AD43" s="650">
        <f>IF(ISNUMBER(Vic!K37),Vic!K37,"")</f>
        <v>1.1549999999999998</v>
      </c>
      <c r="AE43" s="539" t="s">
        <v>757</v>
      </c>
      <c r="AF43" s="651">
        <f>IF(ISNUMBER(Vic!L37),Vic!L37,"")</f>
        <v>1.635</v>
      </c>
      <c r="AG43" s="540" t="s">
        <v>757</v>
      </c>
      <c r="AH43" s="650" t="str">
        <f>IF(ISNUMBER(WA!L37),WA!L37,"")</f>
        <v/>
      </c>
      <c r="AI43" s="532" t="s">
        <v>757</v>
      </c>
      <c r="AJ43" s="651">
        <f>IF(ISNUMBER(WA!M37),WA!M37,"")</f>
        <v>1.214</v>
      </c>
      <c r="AK43" s="534" t="s">
        <v>757</v>
      </c>
      <c r="AL43" s="652"/>
      <c r="AM43" s="647">
        <f>IF(ISNUMBER(ACT!K37),ACT!K37*1000000/AM$7,"")</f>
        <v>0.50137423300133521</v>
      </c>
      <c r="AN43" s="653">
        <f>IF(ISNUMBER(ACT!L37),ACT!L37*1000000/AN$7,"")</f>
        <v>0</v>
      </c>
      <c r="AO43" s="654">
        <f>IF(ISNUMBER(NSW!K37),NSW!K37*1000000/AO$7,"")</f>
        <v>3.7307421098883919</v>
      </c>
      <c r="AP43" s="654">
        <f>IF(ISNUMBER(NSW!L37),NSW!L37*1000000/AP$7,"")</f>
        <v>4.4528952633807872</v>
      </c>
      <c r="AQ43" s="647" t="str">
        <f>IF(ISNUMBER(NT!K37),NT!K37*1000000/AQ$7,"")</f>
        <v/>
      </c>
      <c r="AR43" s="653" t="str">
        <f>IF(ISNUMBER(NT!L37),NT!L37*1000000/AR$7,"")</f>
        <v/>
      </c>
      <c r="AS43" s="654">
        <f>IF(ISNUMBER(Qld!K37),Qld!K37*1000000/AS$7,"")</f>
        <v>7.051551175534736</v>
      </c>
      <c r="AT43" s="654">
        <f>IF(ISNUMBER(Qld!L37),Qld!L37*1000000/AT$7,"")</f>
        <v>37.44953964858707</v>
      </c>
      <c r="AU43" s="647">
        <f>IF(ISNUMBER(SA!K37),SA!K37*1000000/AU$7,"")</f>
        <v>2.300566997623342</v>
      </c>
      <c r="AV43" s="653">
        <f>IF(ISNUMBER(SA!L37),SA!L37*1000000/AV$7,"")</f>
        <v>33.939800234279971</v>
      </c>
      <c r="AW43" s="654" t="str">
        <f>IF(ISNUMBER(TAS!K37),TAS!K37*1000000/AW$7,"")</f>
        <v/>
      </c>
      <c r="AX43" s="654">
        <f>IF(ISNUMBER(TAS!L37),TAS!L37*1000000/AX$7,"")</f>
        <v>5.242881332235565</v>
      </c>
      <c r="AY43" s="647">
        <f>IF(ISNUMBER(Vic!K37),Vic!K37*1000000/AY$7,"")</f>
        <v>0.198541177870033</v>
      </c>
      <c r="AZ43" s="653">
        <f>IF(ISNUMBER(Vic!L37),Vic!L37*1000000/AZ$7,"")</f>
        <v>0.27873321804404633</v>
      </c>
      <c r="BA43" s="647" t="str">
        <f>IF(ISNUMBER(WA!L37),WA!L37*1000000/BA$7,"")</f>
        <v/>
      </c>
      <c r="BB43" s="655">
        <f>IF(ISNUMBER(WA!M37),WA!M37*1000000/BB$7,"")</f>
        <v>0.47163782255617598</v>
      </c>
      <c r="BD43" s="647">
        <v>0.56283425770580608</v>
      </c>
      <c r="BE43" s="654">
        <v>1.3973594882929383</v>
      </c>
      <c r="BF43" s="654">
        <v>0</v>
      </c>
      <c r="BG43" s="654">
        <v>8.3429544712139183</v>
      </c>
      <c r="BH43" s="654">
        <v>0.90173210196141673</v>
      </c>
      <c r="BI43" s="654">
        <v>0.4674717569146864</v>
      </c>
      <c r="BJ43" s="654">
        <v>12.856985856679515</v>
      </c>
      <c r="BK43" s="653">
        <v>0</v>
      </c>
      <c r="BM43" s="647">
        <f t="shared" si="0"/>
        <v>0.25013543602624216</v>
      </c>
      <c r="BN43" s="654">
        <f t="shared" si="1"/>
        <v>4.0929357091401473</v>
      </c>
      <c r="BO43" s="654" t="str">
        <f t="shared" si="2"/>
        <v/>
      </c>
      <c r="BP43" s="654">
        <f t="shared" si="3"/>
        <v>22.302797319548187</v>
      </c>
      <c r="BQ43" s="654">
        <f t="shared" si="4"/>
        <v>18.150144833290419</v>
      </c>
      <c r="BR43" s="654">
        <f t="shared" si="5"/>
        <v>2.6225864919311754</v>
      </c>
      <c r="BS43" s="654">
        <f t="shared" si="6"/>
        <v>0.2388032720670272</v>
      </c>
      <c r="BT43" s="653">
        <f t="shared" si="7"/>
        <v>0.23662678576231833</v>
      </c>
    </row>
    <row r="44" spans="2:72">
      <c r="B44" s="1033" t="s">
        <v>34</v>
      </c>
      <c r="C44" s="1036" t="s">
        <v>152</v>
      </c>
      <c r="D44" s="639" t="s">
        <v>35</v>
      </c>
      <c r="E44" s="640" t="s">
        <v>103</v>
      </c>
      <c r="F44" s="641">
        <f>IF(ISNUMBER(ACT!K38),ACT!K38,"")</f>
        <v>89.58</v>
      </c>
      <c r="G44" s="529" t="s">
        <v>757</v>
      </c>
      <c r="H44" s="642">
        <f>IF(ISNUMBER(ACT!L38),ACT!L38,"")</f>
        <v>199.63</v>
      </c>
      <c r="I44" s="530" t="s">
        <v>757</v>
      </c>
      <c r="J44" s="642">
        <f>IF(ISNUMBER(NSW!K38),NSW!K38,"")</f>
        <v>6166.9520450000018</v>
      </c>
      <c r="K44" s="529" t="s">
        <v>757</v>
      </c>
      <c r="L44" s="642">
        <f>IF(ISNUMBER(NSW!L38),NSW!L38,"")</f>
        <v>6515.3066689999996</v>
      </c>
      <c r="M44" s="530" t="s">
        <v>757</v>
      </c>
      <c r="N44" s="641">
        <f>IF(ISNUMBER(NT!K38),NT!K38,"")</f>
        <v>24.811</v>
      </c>
      <c r="O44" s="529" t="s">
        <v>757</v>
      </c>
      <c r="P44" s="642">
        <f>IF(ISNUMBER(NT!L38),NT!L38,"")</f>
        <v>21.690999999999999</v>
      </c>
      <c r="Q44" s="530" t="s">
        <v>757</v>
      </c>
      <c r="R44" s="641">
        <f>IF(ISNUMBER(Qld!K38),Qld!K38,"")</f>
        <v>5117.6520000000019</v>
      </c>
      <c r="S44" s="529" t="s">
        <v>757</v>
      </c>
      <c r="T44" s="642">
        <f>IF(ISNUMBER(Qld!L38),Qld!L38,"")</f>
        <v>6135.9800010002591</v>
      </c>
      <c r="U44" s="530" t="s">
        <v>757</v>
      </c>
      <c r="V44" s="641">
        <f>IF(ISNUMBER(SA!K38),SA!K38,"")</f>
        <v>1083.33</v>
      </c>
      <c r="W44" s="529" t="s">
        <v>757</v>
      </c>
      <c r="X44" s="642">
        <f>IF(ISNUMBER(SA!L38),SA!L38,"")</f>
        <v>1472.68</v>
      </c>
      <c r="Y44" s="530" t="s">
        <v>757</v>
      </c>
      <c r="Z44" s="641">
        <f>IF(ISNUMBER(TAS!K38),TAS!K38,"")</f>
        <v>15.64</v>
      </c>
      <c r="AA44" s="529" t="s">
        <v>757</v>
      </c>
      <c r="AB44" s="642">
        <f>IF(ISNUMBER(TAS!L38),TAS!L38,"")</f>
        <v>5.3239999999999998</v>
      </c>
      <c r="AC44" s="530" t="s">
        <v>757</v>
      </c>
      <c r="AD44" s="641">
        <f>IF(ISNUMBER(Vic!K38),Vic!K38,"")</f>
        <v>6377.5960000000032</v>
      </c>
      <c r="AE44" s="541" t="s">
        <v>757</v>
      </c>
      <c r="AF44" s="642">
        <f>IF(ISNUMBER(Vic!L38),Vic!L38,"")</f>
        <v>7345.5739999999969</v>
      </c>
      <c r="AG44" s="542" t="s">
        <v>757</v>
      </c>
      <c r="AH44" s="641">
        <f>IF(ISNUMBER(WA!L38),WA!L38,"")</f>
        <v>572.17549999999994</v>
      </c>
      <c r="AI44" s="529" t="s">
        <v>757</v>
      </c>
      <c r="AJ44" s="642">
        <f>IF(ISNUMBER(WA!M38),WA!M38,"")</f>
        <v>1255.2650000000001</v>
      </c>
      <c r="AK44" s="530" t="s">
        <v>757</v>
      </c>
      <c r="AL44" s="652"/>
      <c r="AM44" s="644">
        <f>IF(ISNUMBER(ACT!K38),ACT!K38*1000000/AM$7,"")</f>
        <v>232.71038234331405</v>
      </c>
      <c r="AN44" s="645">
        <f>IF(ISNUMBER(ACT!L38),ACT!L38*1000000/AN$7,"")</f>
        <v>516.32009104076144</v>
      </c>
      <c r="AO44" s="646">
        <f>IF(ISNUMBER(NSW!K38),NSW!K38*1000000/AO$7,"")</f>
        <v>822.50472106976883</v>
      </c>
      <c r="AP44" s="646">
        <f>IF(ISNUMBER(NSW!L38),NSW!L38*1000000/AP$7,"")</f>
        <v>863.60594766515931</v>
      </c>
      <c r="AQ44" s="644">
        <f>IF(ISNUMBER(NT!K38),NT!K38*1000000/AQ$7,"")</f>
        <v>101.76992965401259</v>
      </c>
      <c r="AR44" s="645">
        <f>IF(ISNUMBER(NT!L38),NT!L38*1000000/AR$7,"")</f>
        <v>88.570121926321548</v>
      </c>
      <c r="AS44" s="646">
        <f>IF(ISNUMBER(Qld!K38),Qld!K38*1000000/AS$7,"")</f>
        <v>1087.3296868413543</v>
      </c>
      <c r="AT44" s="646">
        <f>IF(ISNUMBER(Qld!L38),Qld!L38*1000000/AT$7,"")</f>
        <v>1294.7572081770556</v>
      </c>
      <c r="AU44" s="644">
        <f>IF(ISNUMBER(SA!K38),SA!K38*1000000/AU$7,"")</f>
        <v>643.9982546602829</v>
      </c>
      <c r="AV44" s="645">
        <f>IF(ISNUMBER(SA!L38),SA!L38*1000000/AV$7,"")</f>
        <v>872.14212195113282</v>
      </c>
      <c r="AW44" s="646">
        <f>IF(ISNUMBER(TAS!K38),TAS!K38*1000000/AW$7,"")</f>
        <v>30.396436387099783</v>
      </c>
      <c r="AX44" s="646">
        <f>IF(ISNUMBER(TAS!L38),TAS!L38*1000000/AX$7,"")</f>
        <v>10.338185264008203</v>
      </c>
      <c r="AY44" s="644">
        <f>IF(ISNUMBER(Vic!K38),Vic!K38*1000000/AY$7,"")</f>
        <v>1096.2904085014823</v>
      </c>
      <c r="AZ44" s="645">
        <f>IF(ISNUMBER(Vic!L38),Vic!L38*1000000/AZ$7,"")</f>
        <v>1252.2663482572946</v>
      </c>
      <c r="BA44" s="644">
        <f>IF(ISNUMBER(WA!L38),WA!L38*1000000/BA$7,"")</f>
        <v>223.81791347553408</v>
      </c>
      <c r="BB44" s="645">
        <f>IF(ISNUMBER(WA!M38),WA!M38*1000000/BB$7,"")</f>
        <v>487.66923503375472</v>
      </c>
      <c r="BD44" s="644">
        <v>539.3230307639069</v>
      </c>
      <c r="BE44" s="646">
        <v>1676.069973537647</v>
      </c>
      <c r="BF44" s="646">
        <v>355.15632857092601</v>
      </c>
      <c r="BG44" s="646">
        <v>2386.0849787671809</v>
      </c>
      <c r="BH44" s="646">
        <v>1335.5249603626039</v>
      </c>
      <c r="BI44" s="646" t="s">
        <v>855</v>
      </c>
      <c r="BJ44" s="646">
        <v>2954.2256146923492</v>
      </c>
      <c r="BK44" s="645">
        <v>414.05834066036942</v>
      </c>
      <c r="BM44" s="644">
        <f t="shared" si="0"/>
        <v>374.8273028660596</v>
      </c>
      <c r="BN44" s="646">
        <f t="shared" si="1"/>
        <v>843.11890951754276</v>
      </c>
      <c r="BO44" s="646">
        <f t="shared" si="2"/>
        <v>95.155075639915935</v>
      </c>
      <c r="BP44" s="646">
        <f t="shared" si="3"/>
        <v>1191.4000001694167</v>
      </c>
      <c r="BQ44" s="646">
        <f t="shared" si="4"/>
        <v>758.28623235270732</v>
      </c>
      <c r="BR44" s="646">
        <f t="shared" si="5"/>
        <v>20.362927117350061</v>
      </c>
      <c r="BS44" s="646">
        <f t="shared" si="6"/>
        <v>1174.6013975383748</v>
      </c>
      <c r="BT44" s="645">
        <f t="shared" si="7"/>
        <v>356.19552857239199</v>
      </c>
    </row>
    <row r="45" spans="2:72">
      <c r="B45" s="1035"/>
      <c r="C45" s="1037"/>
      <c r="D45" s="667" t="s">
        <v>105</v>
      </c>
      <c r="E45" s="668" t="s">
        <v>104</v>
      </c>
      <c r="F45" s="656">
        <f>IF(ISNUMBER(ACT!K39),ACT!K39,"")</f>
        <v>0</v>
      </c>
      <c r="G45" s="535" t="s">
        <v>757</v>
      </c>
      <c r="H45" s="657">
        <f>IF(ISNUMBER(ACT!L39),ACT!L39,"")</f>
        <v>6.9210000000000003</v>
      </c>
      <c r="I45" s="536" t="s">
        <v>757</v>
      </c>
      <c r="J45" s="657">
        <f>IF(ISNUMBER(NSW!K39),NSW!K39,"")</f>
        <v>897.31933100000003</v>
      </c>
      <c r="K45" s="535" t="s">
        <v>757</v>
      </c>
      <c r="L45" s="657">
        <f>IF(ISNUMBER(NSW!L39),NSW!L39,"")</f>
        <v>1144.9265180000002</v>
      </c>
      <c r="M45" s="536" t="s">
        <v>757</v>
      </c>
      <c r="N45" s="656">
        <f>IF(ISNUMBER(NT!K39),NT!K39,"")</f>
        <v>1</v>
      </c>
      <c r="O45" s="535" t="s">
        <v>757</v>
      </c>
      <c r="P45" s="657" t="str">
        <f>IF(ISNUMBER(NT!L39),NT!L39,"")</f>
        <v/>
      </c>
      <c r="Q45" s="536" t="s">
        <v>757</v>
      </c>
      <c r="R45" s="656">
        <f>IF(ISNUMBER(Qld!K39),Qld!K39,"")</f>
        <v>463.81500000000005</v>
      </c>
      <c r="S45" s="535" t="s">
        <v>757</v>
      </c>
      <c r="T45" s="657">
        <f>IF(ISNUMBER(Qld!L39),Qld!L39,"")</f>
        <v>619.08500099999935</v>
      </c>
      <c r="U45" s="536" t="s">
        <v>757</v>
      </c>
      <c r="V45" s="656">
        <f>IF(ISNUMBER(SA!K39),SA!K39,"")</f>
        <v>304.7</v>
      </c>
      <c r="W45" s="535" t="s">
        <v>757</v>
      </c>
      <c r="X45" s="657">
        <f>IF(ISNUMBER(SA!L39),SA!L39,"")</f>
        <v>555.54999999999995</v>
      </c>
      <c r="Y45" s="536" t="s">
        <v>757</v>
      </c>
      <c r="Z45" s="656" t="str">
        <f>IF(ISNUMBER(TAS!K39),TAS!K39,"")</f>
        <v/>
      </c>
      <c r="AA45" s="535" t="s">
        <v>757</v>
      </c>
      <c r="AB45" s="657" t="str">
        <f>IF(ISNUMBER(TAS!L39),TAS!L39,"")</f>
        <v/>
      </c>
      <c r="AC45" s="536" t="s">
        <v>757</v>
      </c>
      <c r="AD45" s="656">
        <f>IF(ISNUMBER(Vic!K39),Vic!K39,"")</f>
        <v>611.02</v>
      </c>
      <c r="AE45" s="537" t="s">
        <v>757</v>
      </c>
      <c r="AF45" s="657">
        <f>IF(ISNUMBER(Vic!L39),Vic!L39,"")</f>
        <v>798.27200000000016</v>
      </c>
      <c r="AG45" s="538" t="s">
        <v>757</v>
      </c>
      <c r="AH45" s="656">
        <f>IF(ISNUMBER(WA!L39),WA!L39,"")</f>
        <v>437.24840000000006</v>
      </c>
      <c r="AI45" s="535" t="s">
        <v>757</v>
      </c>
      <c r="AJ45" s="657">
        <f>IF(ISNUMBER(WA!M39),WA!M39,"")</f>
        <v>494.86633</v>
      </c>
      <c r="AK45" s="536" t="s">
        <v>757</v>
      </c>
      <c r="AL45" s="652"/>
      <c r="AM45" s="669">
        <f>IF(ISNUMBER(ACT!K39),ACT!K39*1000000/AM$7,"")</f>
        <v>0</v>
      </c>
      <c r="AN45" s="670">
        <f>IF(ISNUMBER(ACT!L39),ACT!L39*1000000/AN$7,"")</f>
        <v>17.900372439478584</v>
      </c>
      <c r="AO45" s="671">
        <f>IF(ISNUMBER(NSW!K39),NSW!K39*1000000/AO$7,"")</f>
        <v>119.67814581160188</v>
      </c>
      <c r="AP45" s="671">
        <f>IF(ISNUMBER(NSW!L39),NSW!L39*1000000/AP$7,"")</f>
        <v>151.76036997443771</v>
      </c>
      <c r="AQ45" s="669">
        <f>IF(ISNUMBER(NT!K39),NT!K39*1000000/AQ$7,"")</f>
        <v>4.1018068459156263</v>
      </c>
      <c r="AR45" s="670" t="str">
        <f>IF(ISNUMBER(NT!L39),NT!L39*1000000/AR$7,"")</f>
        <v/>
      </c>
      <c r="AS45" s="671">
        <f>IF(ISNUMBER(Qld!K39),Qld!K39*1000000/AS$7,"")</f>
        <v>98.545156783290963</v>
      </c>
      <c r="AT45" s="671">
        <f>IF(ISNUMBER(Qld!L39),Qld!L39*1000000/AT$7,"")</f>
        <v>130.63353651550062</v>
      </c>
      <c r="AU45" s="669">
        <f>IF(ISNUMBER(SA!K39),SA!K39*1000000/AU$7,"")</f>
        <v>181.13249720305743</v>
      </c>
      <c r="AV45" s="670">
        <f>IF(ISNUMBER(SA!L39),SA!L39*1000000/AV$7,"")</f>
        <v>329.00464177550577</v>
      </c>
      <c r="AW45" s="671" t="str">
        <f>IF(ISNUMBER(TAS!K39),TAS!K39*1000000/AW$7,"")</f>
        <v/>
      </c>
      <c r="AX45" s="671" t="str">
        <f>IF(ISNUMBER(TAS!L39),TAS!L39*1000000/AX$7,"")</f>
        <v/>
      </c>
      <c r="AY45" s="669">
        <f>IF(ISNUMBER(Vic!K39),Vic!K39*1000000/AY$7,"")</f>
        <v>105.03258052133991</v>
      </c>
      <c r="AZ45" s="670">
        <f>IF(ISNUMBER(Vic!L39),Vic!L39*1000000/AZ$7,"")</f>
        <v>136.08863818621222</v>
      </c>
      <c r="BA45" s="669">
        <f>IF(ISNUMBER(WA!L39),WA!L39*1000000/BA$7,"")</f>
        <v>171.03847431166787</v>
      </c>
      <c r="BB45" s="672">
        <f>IF(ISNUMBER(WA!M39),WA!M39*1000000/BB$7,"")</f>
        <v>192.25508924016972</v>
      </c>
      <c r="BD45" s="669">
        <v>17.988365454583715</v>
      </c>
      <c r="BE45" s="671">
        <v>292.77809104912762</v>
      </c>
      <c r="BF45" s="671">
        <v>8.4842900714165648</v>
      </c>
      <c r="BG45" s="671">
        <v>188.46520228562724</v>
      </c>
      <c r="BH45" s="671">
        <v>264.01043859413397</v>
      </c>
      <c r="BI45" s="671" t="s">
        <v>855</v>
      </c>
      <c r="BJ45" s="671">
        <v>77.727169447524204</v>
      </c>
      <c r="BK45" s="670">
        <v>334.23960317302419</v>
      </c>
      <c r="BM45" s="669">
        <f t="shared" si="0"/>
        <v>8.9698826566716168</v>
      </c>
      <c r="BN45" s="671">
        <f t="shared" si="1"/>
        <v>135.76888249999536</v>
      </c>
      <c r="BO45" s="671">
        <f t="shared" si="2"/>
        <v>2.0462577016024248</v>
      </c>
      <c r="BP45" s="671">
        <f t="shared" si="3"/>
        <v>114.64450421518903</v>
      </c>
      <c r="BQ45" s="671">
        <f t="shared" si="4"/>
        <v>255.20859909836679</v>
      </c>
      <c r="BR45" s="671" t="str">
        <f t="shared" si="5"/>
        <v/>
      </c>
      <c r="BS45" s="671">
        <f t="shared" si="6"/>
        <v>120.62492505300534</v>
      </c>
      <c r="BT45" s="670">
        <f t="shared" si="7"/>
        <v>181.6831239881476</v>
      </c>
    </row>
    <row r="46" spans="2:72">
      <c r="B46" s="1033" t="s">
        <v>37</v>
      </c>
      <c r="C46" s="1036" t="s">
        <v>153</v>
      </c>
      <c r="D46" s="648" t="s">
        <v>38</v>
      </c>
      <c r="E46" s="649" t="s">
        <v>106</v>
      </c>
      <c r="F46" s="641">
        <f>IF(ISNUMBER(ACT!K40),ACT!K40,"")</f>
        <v>0</v>
      </c>
      <c r="G46" s="529" t="s">
        <v>757</v>
      </c>
      <c r="H46" s="642">
        <f>IF(ISNUMBER(ACT!L40),ACT!L40,"")</f>
        <v>0</v>
      </c>
      <c r="I46" s="530" t="s">
        <v>757</v>
      </c>
      <c r="J46" s="642" t="str">
        <f>IF(ISNUMBER(NSW!K40),NSW!K40,"")</f>
        <v/>
      </c>
      <c r="K46" s="529" t="s">
        <v>757</v>
      </c>
      <c r="L46" s="642" t="str">
        <f>IF(ISNUMBER(NSW!L40),NSW!L40,"")</f>
        <v/>
      </c>
      <c r="M46" s="530" t="s">
        <v>757</v>
      </c>
      <c r="N46" s="641" t="str">
        <f>IF(ISNUMBER(NT!K40),NT!K40,"")</f>
        <v/>
      </c>
      <c r="O46" s="529" t="s">
        <v>757</v>
      </c>
      <c r="P46" s="642" t="str">
        <f>IF(ISNUMBER(NT!L40),NT!L40,"")</f>
        <v/>
      </c>
      <c r="Q46" s="530" t="s">
        <v>757</v>
      </c>
      <c r="R46" s="641">
        <f>IF(ISNUMBER(Qld!K40),Qld!K40,"")</f>
        <v>118.869</v>
      </c>
      <c r="S46" s="529" t="s">
        <v>757</v>
      </c>
      <c r="T46" s="642">
        <f>IF(ISNUMBER(Qld!L40),Qld!L40,"")</f>
        <v>86.322000999999986</v>
      </c>
      <c r="U46" s="530" t="s">
        <v>757</v>
      </c>
      <c r="V46" s="641">
        <f>IF(ISNUMBER(SA!K40),SA!K40,"")</f>
        <v>4.75</v>
      </c>
      <c r="W46" s="529" t="s">
        <v>757</v>
      </c>
      <c r="X46" s="642">
        <f>IF(ISNUMBER(SA!L40),SA!L40,"")</f>
        <v>1.1299999999999999</v>
      </c>
      <c r="Y46" s="530" t="s">
        <v>757</v>
      </c>
      <c r="Z46" s="641" t="str">
        <f>IF(ISNUMBER(TAS!K40),TAS!K40,"")</f>
        <v/>
      </c>
      <c r="AA46" s="529" t="s">
        <v>757</v>
      </c>
      <c r="AB46" s="642" t="str">
        <f>IF(ISNUMBER(TAS!L40),TAS!L40,"")</f>
        <v/>
      </c>
      <c r="AC46" s="530" t="s">
        <v>757</v>
      </c>
      <c r="AD46" s="641">
        <f>IF(ISNUMBER(Vic!K40),Vic!K40,"")</f>
        <v>223.35199999999998</v>
      </c>
      <c r="AE46" s="541" t="s">
        <v>757</v>
      </c>
      <c r="AF46" s="642">
        <f>IF(ISNUMBER(Vic!L40),Vic!L40,"")</f>
        <v>446.18999999999994</v>
      </c>
      <c r="AG46" s="542" t="s">
        <v>757</v>
      </c>
      <c r="AH46" s="641">
        <f>IF(ISNUMBER(WA!L40),WA!L40,"")</f>
        <v>60.567</v>
      </c>
      <c r="AI46" s="529" t="s">
        <v>757</v>
      </c>
      <c r="AJ46" s="642">
        <f>IF(ISNUMBER(WA!M40),WA!M40,"")</f>
        <v>112.26300000000001</v>
      </c>
      <c r="AK46" s="530" t="s">
        <v>757</v>
      </c>
      <c r="AL46" s="652"/>
      <c r="AM46" s="647">
        <f>IF(ISNUMBER(ACT!K40),ACT!K40*1000000/AM$7,"")</f>
        <v>0</v>
      </c>
      <c r="AN46" s="653">
        <f>IF(ISNUMBER(ACT!L40),ACT!L40*1000000/AN$7,"")</f>
        <v>0</v>
      </c>
      <c r="AO46" s="654" t="str">
        <f>IF(ISNUMBER(NSW!K40),NSW!K40*1000000/AO$7,"")</f>
        <v/>
      </c>
      <c r="AP46" s="654" t="str">
        <f>IF(ISNUMBER(NSW!L40),NSW!L40*1000000/AP$7,"")</f>
        <v/>
      </c>
      <c r="AQ46" s="647" t="str">
        <f>IF(ISNUMBER(NT!K40),NT!K40*1000000/AQ$7,"")</f>
        <v/>
      </c>
      <c r="AR46" s="653" t="str">
        <f>IF(ISNUMBER(NT!L40),NT!L40*1000000/AR$7,"")</f>
        <v/>
      </c>
      <c r="AS46" s="654">
        <f>IF(ISNUMBER(Qld!K40),Qld!K40*1000000/AS$7,"")</f>
        <v>25.255682204484572</v>
      </c>
      <c r="AT46" s="654">
        <f>IF(ISNUMBER(Qld!L40),Qld!L40*1000000/AT$7,"")</f>
        <v>18.21486266265493</v>
      </c>
      <c r="AU46" s="647">
        <f>IF(ISNUMBER(SA!K40),SA!K40*1000000/AU$7,"")</f>
        <v>2.8236933433361431</v>
      </c>
      <c r="AV46" s="653">
        <f>IF(ISNUMBER(SA!L40),SA!L40*1000000/AV$7,"")</f>
        <v>0.66920213339271273</v>
      </c>
      <c r="AW46" s="654" t="str">
        <f>IF(ISNUMBER(TAS!K40),TAS!K40*1000000/AW$7,"")</f>
        <v/>
      </c>
      <c r="AX46" s="654" t="str">
        <f>IF(ISNUMBER(TAS!L40),TAS!L40*1000000/AX$7,"")</f>
        <v/>
      </c>
      <c r="AY46" s="647">
        <f>IF(ISNUMBER(Vic!K40),Vic!K40*1000000/AY$7,"")</f>
        <v>38.393566371971964</v>
      </c>
      <c r="AZ46" s="653">
        <f>IF(ISNUMBER(Vic!L40),Vic!L40*1000000/AZ$7,"")</f>
        <v>76.066039485671567</v>
      </c>
      <c r="BA46" s="647">
        <f>IF(ISNUMBER(WA!L40),WA!L40*1000000/BA$7,"")</f>
        <v>23.69199583951545</v>
      </c>
      <c r="BB46" s="655">
        <f>IF(ISNUMBER(WA!M40),WA!M40*1000000/BB$7,"")</f>
        <v>43.614066617482692</v>
      </c>
      <c r="BD46" s="647">
        <v>0</v>
      </c>
      <c r="BE46" s="654">
        <v>0</v>
      </c>
      <c r="BF46" s="654">
        <v>0</v>
      </c>
      <c r="BG46" s="654">
        <v>31.018676880154313</v>
      </c>
      <c r="BH46" s="654">
        <v>3.7562218022101392</v>
      </c>
      <c r="BI46" s="654" t="s">
        <v>855</v>
      </c>
      <c r="BJ46" s="654">
        <v>225.85742416535086</v>
      </c>
      <c r="BK46" s="653">
        <v>6.5397265767660917</v>
      </c>
      <c r="BM46" s="647">
        <f t="shared" ref="BM46:BM77" si="8">IF(OR(ISNUMBER(AM46),ISNUMBER(AN46)),SUMPRODUCT(AM46:AN46,AM$7:AN$7)/SUM(AM$7:AN$7),"")</f>
        <v>0</v>
      </c>
      <c r="BN46" s="654" t="str">
        <f t="shared" ref="BN46:BN77" si="9">IF(OR(ISNUMBER(AO46),ISNUMBER(AP46)),SUMPRODUCT(AO46:AP46,AO$7:AP$7)/SUM(AO$7:AP$7),"")</f>
        <v/>
      </c>
      <c r="BO46" s="654" t="str">
        <f t="shared" ref="BO46:BO77" si="10">IF(OR(ISNUMBER(AQ46),ISNUMBER(AR46)),SUMPRODUCT(AQ46:AR46,AQ$7:AR$7)/SUM(AQ$7:AR$7),"")</f>
        <v/>
      </c>
      <c r="BP46" s="654">
        <f t="shared" ref="BP46:BP77" si="11">IF(OR(ISNUMBER(AS46),ISNUMBER(AT46)),SUMPRODUCT(AS46:AT46,AS$7:AT$7)/SUM(AS$7:AT$7),"")</f>
        <v>21.723169782380825</v>
      </c>
      <c r="BQ46" s="654">
        <f t="shared" ref="BQ46:BQ77" si="12">IF(OR(ISNUMBER(AU46),ISNUMBER(AV46)),SUMPRODUCT(AU46:AV46,AU$7:AV$7)/SUM(AU$7:AV$7),"")</f>
        <v>1.7444075125816876</v>
      </c>
      <c r="BR46" s="654" t="str">
        <f t="shared" ref="BR46:BR77" si="13">IF(OR(ISNUMBER(AW46),ISNUMBER(AX46)),SUMPRODUCT(AW46:AX46,AW$7:AX$7)/SUM(AW$7:AX$7),"")</f>
        <v/>
      </c>
      <c r="BS46" s="654">
        <f t="shared" ref="BS46:BS77" si="14">IF(OR(ISNUMBER(AY46),ISNUMBER(AZ46)),SUMPRODUCT(AY46:AZ46,AY$7:AZ$7)/SUM(AY$7:AZ$7),"")</f>
        <v>57.307820926989784</v>
      </c>
      <c r="BT46" s="653">
        <f t="shared" ref="BT46:BT77" si="15">IF(OR(ISNUMBER(BA46),ISNUMBER(BB46)),SUMPRODUCT(BA46:BB46,BA$7:BB$7)/SUM(BA$7:BB$7),"")</f>
        <v>33.687155999424611</v>
      </c>
    </row>
    <row r="47" spans="2:72">
      <c r="B47" s="1034"/>
      <c r="C47" s="1038"/>
      <c r="D47" s="648" t="s">
        <v>39</v>
      </c>
      <c r="E47" s="649" t="s">
        <v>107</v>
      </c>
      <c r="F47" s="650">
        <f>IF(ISNUMBER(ACT!K41),ACT!K41,"")</f>
        <v>42.4</v>
      </c>
      <c r="G47" s="532" t="s">
        <v>757</v>
      </c>
      <c r="H47" s="651">
        <f>IF(ISNUMBER(ACT!L41),ACT!L41,"")</f>
        <v>20.49</v>
      </c>
      <c r="I47" s="534" t="s">
        <v>757</v>
      </c>
      <c r="J47" s="651">
        <f>IF(ISNUMBER(NSW!K41),NSW!K41,"")</f>
        <v>4033.833604999998</v>
      </c>
      <c r="K47" s="532" t="s">
        <v>757</v>
      </c>
      <c r="L47" s="651">
        <f>IF(ISNUMBER(NSW!L41),NSW!L41,"")</f>
        <v>1474.757519999999</v>
      </c>
      <c r="M47" s="534" t="s">
        <v>757</v>
      </c>
      <c r="N47" s="650" t="str">
        <f>IF(ISNUMBER(NT!K41),NT!K41,"")</f>
        <v/>
      </c>
      <c r="O47" s="532" t="s">
        <v>757</v>
      </c>
      <c r="P47" s="651" t="str">
        <f>IF(ISNUMBER(NT!L41),NT!L41,"")</f>
        <v/>
      </c>
      <c r="Q47" s="534" t="s">
        <v>757</v>
      </c>
      <c r="R47" s="650">
        <f>IF(ISNUMBER(Qld!K41),Qld!K41,"")</f>
        <v>688.5470000000031</v>
      </c>
      <c r="S47" s="532" t="s">
        <v>757</v>
      </c>
      <c r="T47" s="651">
        <f>IF(ISNUMBER(Qld!L41),Qld!L41,"")</f>
        <v>834.22100099988154</v>
      </c>
      <c r="U47" s="534" t="s">
        <v>757</v>
      </c>
      <c r="V47" s="650">
        <f>IF(ISNUMBER(SA!K41),SA!K41,"")</f>
        <v>132.16999999999999</v>
      </c>
      <c r="W47" s="532" t="s">
        <v>757</v>
      </c>
      <c r="X47" s="651">
        <f>IF(ISNUMBER(SA!L41),SA!L41,"")</f>
        <v>152.46</v>
      </c>
      <c r="Y47" s="534" t="s">
        <v>757</v>
      </c>
      <c r="Z47" s="650">
        <f>IF(ISNUMBER(TAS!K41),TAS!K41,"")</f>
        <v>331.524</v>
      </c>
      <c r="AA47" s="532" t="s">
        <v>757</v>
      </c>
      <c r="AB47" s="651">
        <f>IF(ISNUMBER(TAS!L41),TAS!L41,"")</f>
        <v>627.84500000000003</v>
      </c>
      <c r="AC47" s="534" t="s">
        <v>757</v>
      </c>
      <c r="AD47" s="650">
        <f>IF(ISNUMBER(Vic!K41),Vic!K41,"")</f>
        <v>865.9150000000003</v>
      </c>
      <c r="AE47" s="539" t="s">
        <v>757</v>
      </c>
      <c r="AF47" s="651">
        <f>IF(ISNUMBER(Vic!L41),Vic!L41,"")</f>
        <v>575.69000000000005</v>
      </c>
      <c r="AG47" s="540" t="s">
        <v>757</v>
      </c>
      <c r="AH47" s="650">
        <f>IF(ISNUMBER(WA!L41),WA!L41,"")</f>
        <v>2555.9985000000001</v>
      </c>
      <c r="AI47" s="532" t="s">
        <v>757</v>
      </c>
      <c r="AJ47" s="651">
        <f>IF(ISNUMBER(WA!M41),WA!M41,"")</f>
        <v>2383.4034999999999</v>
      </c>
      <c r="AK47" s="534" t="s">
        <v>757</v>
      </c>
      <c r="AL47" s="652"/>
      <c r="AM47" s="647">
        <f>IF(ISNUMBER(ACT!K41),ACT!K41*1000000/AM$7,"")</f>
        <v>110.14646362309126</v>
      </c>
      <c r="AN47" s="653">
        <f>IF(ISNUMBER(ACT!L41),ACT!L41*1000000/AN$7,"")</f>
        <v>52.99503414028554</v>
      </c>
      <c r="AO47" s="654">
        <f>IF(ISNUMBER(NSW!K41),NSW!K41*1000000/AO$7,"")</f>
        <v>538.00437556708494</v>
      </c>
      <c r="AP47" s="654">
        <f>IF(ISNUMBER(NSW!L41),NSW!L41*1000000/AP$7,"")</f>
        <v>195.47957300241694</v>
      </c>
      <c r="AQ47" s="647" t="str">
        <f>IF(ISNUMBER(NT!K41),NT!K41*1000000/AQ$7,"")</f>
        <v/>
      </c>
      <c r="AR47" s="653" t="str">
        <f>IF(ISNUMBER(NT!L41),NT!L41*1000000/AR$7,"")</f>
        <v/>
      </c>
      <c r="AS47" s="654">
        <f>IF(ISNUMBER(Qld!K41),Qld!K41*1000000/AS$7,"")</f>
        <v>146.29318169456559</v>
      </c>
      <c r="AT47" s="654">
        <f>IF(ISNUMBER(Qld!L41),Qld!L41*1000000/AT$7,"")</f>
        <v>176.02952651103817</v>
      </c>
      <c r="AU47" s="647">
        <f>IF(ISNUMBER(SA!K41),SA!K41*1000000/AU$7,"")</f>
        <v>78.570010355523792</v>
      </c>
      <c r="AV47" s="653">
        <f>IF(ISNUMBER(SA!L41),SA!L41*1000000/AV$7,"")</f>
        <v>90.288988723055738</v>
      </c>
      <c r="AW47" s="654">
        <f>IF(ISNUMBER(TAS!K41),TAS!K41*1000000/AW$7,"")</f>
        <v>644.31893713534964</v>
      </c>
      <c r="AX47" s="654">
        <f>IF(ISNUMBER(TAS!L41),TAS!L41*1000000/AX$7,"")</f>
        <v>1219.1543814953475</v>
      </c>
      <c r="AY47" s="647">
        <f>IF(ISNUMBER(Vic!K41),Vic!K41*1000000/AY$7,"")</f>
        <v>148.84829786608637</v>
      </c>
      <c r="AZ47" s="653">
        <f>IF(ISNUMBER(Vic!L41),Vic!L41*1000000/AZ$7,"")</f>
        <v>98.143074187019593</v>
      </c>
      <c r="BA47" s="647">
        <f>IF(ISNUMBER(WA!L41),WA!L41*1000000/BA$7,"")</f>
        <v>999.83003661742748</v>
      </c>
      <c r="BB47" s="655">
        <f>IF(ISNUMBER(WA!M41),WA!M41*1000000/BB$7,"")</f>
        <v>925.9499481159545</v>
      </c>
      <c r="BD47" s="647">
        <v>169.23465962233243</v>
      </c>
      <c r="BE47" s="654">
        <v>606.08618186117724</v>
      </c>
      <c r="BF47" s="654">
        <v>68.367593249903265</v>
      </c>
      <c r="BG47" s="654">
        <v>427.84381903661125</v>
      </c>
      <c r="BH47" s="654">
        <v>166.84432580596038</v>
      </c>
      <c r="BI47" s="654">
        <v>392.8126217374367</v>
      </c>
      <c r="BJ47" s="654">
        <v>581.46769820685267</v>
      </c>
      <c r="BK47" s="653">
        <v>1844.1342517974531</v>
      </c>
      <c r="BM47" s="647">
        <f t="shared" si="8"/>
        <v>81.507863065753213</v>
      </c>
      <c r="BN47" s="654">
        <f t="shared" si="9"/>
        <v>366.21215881371677</v>
      </c>
      <c r="BO47" s="654" t="str">
        <f t="shared" si="10"/>
        <v/>
      </c>
      <c r="BP47" s="654">
        <f t="shared" si="11"/>
        <v>161.21246869348403</v>
      </c>
      <c r="BQ47" s="654">
        <f t="shared" si="12"/>
        <v>84.440596990837705</v>
      </c>
      <c r="BR47" s="654">
        <f t="shared" si="13"/>
        <v>931.86228895463705</v>
      </c>
      <c r="BS47" s="654">
        <f t="shared" si="14"/>
        <v>123.39067778788059</v>
      </c>
      <c r="BT47" s="653">
        <f t="shared" si="15"/>
        <v>962.76344221414058</v>
      </c>
    </row>
    <row r="48" spans="2:72">
      <c r="B48" s="1034"/>
      <c r="C48" s="1038"/>
      <c r="D48" s="648" t="s">
        <v>40</v>
      </c>
      <c r="E48" s="649" t="s">
        <v>108</v>
      </c>
      <c r="F48" s="650">
        <f>IF(ISNUMBER(ACT!K42),ACT!K42,"")</f>
        <v>1.93</v>
      </c>
      <c r="G48" s="532" t="s">
        <v>757</v>
      </c>
      <c r="H48" s="651">
        <f>IF(ISNUMBER(ACT!L42),ACT!L42,"")</f>
        <v>2.8</v>
      </c>
      <c r="I48" s="534" t="s">
        <v>757</v>
      </c>
      <c r="J48" s="651">
        <f>IF(ISNUMBER(NSW!K42),NSW!K42,"")</f>
        <v>669.72370000000001</v>
      </c>
      <c r="K48" s="532" t="s">
        <v>757</v>
      </c>
      <c r="L48" s="651">
        <f>IF(ISNUMBER(NSW!L42),NSW!L42,"")</f>
        <v>157.66454999999999</v>
      </c>
      <c r="M48" s="534" t="s">
        <v>757</v>
      </c>
      <c r="N48" s="650" t="str">
        <f>IF(ISNUMBER(NT!K42),NT!K42,"")</f>
        <v/>
      </c>
      <c r="O48" s="532" t="s">
        <v>757</v>
      </c>
      <c r="P48" s="651" t="str">
        <f>IF(ISNUMBER(NT!L42),NT!L42,"")</f>
        <v/>
      </c>
      <c r="Q48" s="534" t="s">
        <v>757</v>
      </c>
      <c r="R48" s="650">
        <f>IF(ISNUMBER(Qld!K42),Qld!K42,"")</f>
        <v>19.541</v>
      </c>
      <c r="S48" s="532" t="s">
        <v>757</v>
      </c>
      <c r="T48" s="651">
        <f>IF(ISNUMBER(Qld!L42),Qld!L42,"")</f>
        <v>13.515000999999991</v>
      </c>
      <c r="U48" s="534" t="s">
        <v>757</v>
      </c>
      <c r="V48" s="650">
        <f>IF(ISNUMBER(SA!K42),SA!K42,"")</f>
        <v>28.85</v>
      </c>
      <c r="W48" s="532" t="s">
        <v>757</v>
      </c>
      <c r="X48" s="651">
        <f>IF(ISNUMBER(SA!L42),SA!L42,"")</f>
        <v>53.79</v>
      </c>
      <c r="Y48" s="534" t="s">
        <v>757</v>
      </c>
      <c r="Z48" s="650" t="str">
        <f>IF(ISNUMBER(TAS!K42),TAS!K42,"")</f>
        <v/>
      </c>
      <c r="AA48" s="532" t="s">
        <v>757</v>
      </c>
      <c r="AB48" s="651">
        <f>IF(ISNUMBER(TAS!L42),TAS!L42,"")</f>
        <v>3.21</v>
      </c>
      <c r="AC48" s="534" t="s">
        <v>757</v>
      </c>
      <c r="AD48" s="650">
        <f>IF(ISNUMBER(Vic!K42),Vic!K42,"")</f>
        <v>13.520000000000001</v>
      </c>
      <c r="AE48" s="539" t="s">
        <v>757</v>
      </c>
      <c r="AF48" s="651">
        <f>IF(ISNUMBER(Vic!L42),Vic!L42,"")</f>
        <v>35.520000000000003</v>
      </c>
      <c r="AG48" s="540" t="s">
        <v>757</v>
      </c>
      <c r="AH48" s="650" t="str">
        <f>IF(ISNUMBER(WA!L42),WA!L42,"")</f>
        <v/>
      </c>
      <c r="AI48" s="532" t="s">
        <v>757</v>
      </c>
      <c r="AJ48" s="651">
        <f>IF(ISNUMBER(WA!M42),WA!M42,"")</f>
        <v>18.015000000000001</v>
      </c>
      <c r="AK48" s="534" t="s">
        <v>757</v>
      </c>
      <c r="AL48" s="652"/>
      <c r="AM48" s="647">
        <f>IF(ISNUMBER(ACT!K42),ACT!K42*1000000/AM$7,"")</f>
        <v>5.0137423300133523</v>
      </c>
      <c r="AN48" s="653">
        <f>IF(ISNUMBER(ACT!L42),ACT!L42*1000000/AN$7,"")</f>
        <v>7.2418787502586381</v>
      </c>
      <c r="AO48" s="654">
        <f>IF(ISNUMBER(NSW!K42),NSW!K42*1000000/AO$7,"")</f>
        <v>89.323040140863199</v>
      </c>
      <c r="AP48" s="654">
        <f>IF(ISNUMBER(NSW!L42),NSW!L42*1000000/AP$7,"")</f>
        <v>20.898485678932651</v>
      </c>
      <c r="AQ48" s="647" t="str">
        <f>IF(ISNUMBER(NT!K42),NT!K42*1000000/AQ$7,"")</f>
        <v/>
      </c>
      <c r="AR48" s="653" t="str">
        <f>IF(ISNUMBER(NT!L42),NT!L42*1000000/AR$7,"")</f>
        <v/>
      </c>
      <c r="AS48" s="654">
        <f>IF(ISNUMBER(Qld!K42),Qld!K42*1000000/AS$7,"")</f>
        <v>4.1518081750316149</v>
      </c>
      <c r="AT48" s="654">
        <f>IF(ISNUMBER(Qld!L42),Qld!L42*1000000/AT$7,"")</f>
        <v>2.8518093214804403</v>
      </c>
      <c r="AU48" s="647">
        <f>IF(ISNUMBER(SA!K42),SA!K42*1000000/AU$7,"")</f>
        <v>17.150221674788995</v>
      </c>
      <c r="AV48" s="653">
        <f>IF(ISNUMBER(SA!L42),SA!L42*1000000/AV$7,"")</f>
        <v>31.855205978047803</v>
      </c>
      <c r="AW48" s="654" t="str">
        <f>IF(ISNUMBER(TAS!K42),TAS!K42*1000000/AW$7,"")</f>
        <v/>
      </c>
      <c r="AX48" s="654">
        <f>IF(ISNUMBER(TAS!L42),TAS!L42*1000000/AX$7,"")</f>
        <v>6.2332033616578375</v>
      </c>
      <c r="AY48" s="647">
        <f>IF(ISNUMBER(Vic!K42),Vic!K42*1000000/AY$7,"")</f>
        <v>2.3240491123834177</v>
      </c>
      <c r="AZ48" s="653">
        <f>IF(ISNUMBER(Vic!L42),Vic!L42*1000000/AZ$7,"")</f>
        <v>6.0554152323697403</v>
      </c>
      <c r="BA48" s="647" t="str">
        <f>IF(ISNUMBER(WA!L42),WA!L42*1000000/BA$7,"")</f>
        <v/>
      </c>
      <c r="BB48" s="655">
        <f>IF(ISNUMBER(WA!M42),WA!M42*1000000/BB$7,"")</f>
        <v>6.9988100274707667</v>
      </c>
      <c r="BD48" s="647">
        <v>6.7249951784918123</v>
      </c>
      <c r="BE48" s="654">
        <v>29.113327213537527</v>
      </c>
      <c r="BF48" s="654">
        <v>8.7802536785590029</v>
      </c>
      <c r="BG48" s="654">
        <v>83.643466621657495</v>
      </c>
      <c r="BH48" s="654">
        <v>55.728238248370459</v>
      </c>
      <c r="BI48" s="654">
        <v>85.237631476431616</v>
      </c>
      <c r="BJ48" s="654">
        <v>31.044469280054606</v>
      </c>
      <c r="BK48" s="653">
        <v>70.918983640476824</v>
      </c>
      <c r="BM48" s="647">
        <f t="shared" si="8"/>
        <v>6.1302622404358837</v>
      </c>
      <c r="BN48" s="654">
        <f t="shared" si="9"/>
        <v>55.004924187326267</v>
      </c>
      <c r="BO48" s="654" t="str">
        <f t="shared" si="10"/>
        <v/>
      </c>
      <c r="BP48" s="654">
        <f t="shared" si="11"/>
        <v>3.4995741457957514</v>
      </c>
      <c r="BQ48" s="654">
        <f t="shared" si="12"/>
        <v>24.51663891832494</v>
      </c>
      <c r="BR48" s="654">
        <f t="shared" si="13"/>
        <v>3.1179639404070643</v>
      </c>
      <c r="BS48" s="654">
        <f t="shared" si="14"/>
        <v>4.1974596638591448</v>
      </c>
      <c r="BT48" s="653">
        <f t="shared" si="15"/>
        <v>3.5113933653279776</v>
      </c>
    </row>
    <row r="49" spans="2:72">
      <c r="B49" s="1035"/>
      <c r="C49" s="1037"/>
      <c r="D49" s="648" t="s">
        <v>41</v>
      </c>
      <c r="E49" s="649" t="s">
        <v>109</v>
      </c>
      <c r="F49" s="656">
        <f>IF(ISNUMBER(ACT!K43),ACT!K43,"")</f>
        <v>0</v>
      </c>
      <c r="G49" s="535" t="s">
        <v>757</v>
      </c>
      <c r="H49" s="657">
        <f>IF(ISNUMBER(ACT!L43),ACT!L43,"")</f>
        <v>0</v>
      </c>
      <c r="I49" s="536" t="s">
        <v>757</v>
      </c>
      <c r="J49" s="657">
        <f>IF(ISNUMBER(NSW!K43),NSW!K43,"")</f>
        <v>385.89449999999999</v>
      </c>
      <c r="K49" s="535" t="s">
        <v>757</v>
      </c>
      <c r="L49" s="657">
        <f>IF(ISNUMBER(NSW!L43),NSW!L43,"")</f>
        <v>429.09699999999998</v>
      </c>
      <c r="M49" s="536" t="s">
        <v>757</v>
      </c>
      <c r="N49" s="656" t="str">
        <f>IF(ISNUMBER(NT!K43),NT!K43,"")</f>
        <v/>
      </c>
      <c r="O49" s="535" t="s">
        <v>757</v>
      </c>
      <c r="P49" s="657" t="str">
        <f>IF(ISNUMBER(NT!L43),NT!L43,"")</f>
        <v/>
      </c>
      <c r="Q49" s="536" t="s">
        <v>757</v>
      </c>
      <c r="R49" s="656">
        <f>IF(ISNUMBER(Qld!K43),Qld!K43,"")</f>
        <v>4075.1959999999995</v>
      </c>
      <c r="S49" s="535" t="s">
        <v>757</v>
      </c>
      <c r="T49" s="657">
        <f>IF(ISNUMBER(Qld!L43),Qld!L43,"")</f>
        <v>931.78200100000072</v>
      </c>
      <c r="U49" s="536" t="s">
        <v>757</v>
      </c>
      <c r="V49" s="656">
        <f>IF(ISNUMBER(SA!K43),SA!K43,"")</f>
        <v>0</v>
      </c>
      <c r="W49" s="535" t="s">
        <v>757</v>
      </c>
      <c r="X49" s="657">
        <f>IF(ISNUMBER(SA!L43),SA!L43,"")</f>
        <v>3.78</v>
      </c>
      <c r="Y49" s="536" t="s">
        <v>757</v>
      </c>
      <c r="Z49" s="656" t="str">
        <f>IF(ISNUMBER(TAS!K43),TAS!K43,"")</f>
        <v/>
      </c>
      <c r="AA49" s="535" t="s">
        <v>757</v>
      </c>
      <c r="AB49" s="657" t="str">
        <f>IF(ISNUMBER(TAS!L43),TAS!L43,"")</f>
        <v/>
      </c>
      <c r="AC49" s="536" t="s">
        <v>757</v>
      </c>
      <c r="AD49" s="656">
        <f>IF(ISNUMBER(Vic!K43),Vic!K43,"")</f>
        <v>307.52000000000015</v>
      </c>
      <c r="AE49" s="537" t="s">
        <v>757</v>
      </c>
      <c r="AF49" s="657">
        <f>IF(ISNUMBER(Vic!L43),Vic!L43,"")</f>
        <v>1017.22</v>
      </c>
      <c r="AG49" s="538" t="s">
        <v>757</v>
      </c>
      <c r="AH49" s="656">
        <f>IF(ISNUMBER(WA!L43),WA!L43,"")</f>
        <v>2.0999999999999996</v>
      </c>
      <c r="AI49" s="535" t="s">
        <v>757</v>
      </c>
      <c r="AJ49" s="657">
        <f>IF(ISNUMBER(WA!M43),WA!M43,"")</f>
        <v>38.575999999999993</v>
      </c>
      <c r="AK49" s="536" t="s">
        <v>757</v>
      </c>
      <c r="AL49" s="652"/>
      <c r="AM49" s="647">
        <f>IF(ISNUMBER(ACT!K43),ACT!K43*1000000/AM$7,"")</f>
        <v>0</v>
      </c>
      <c r="AN49" s="653">
        <f>IF(ISNUMBER(ACT!L43),ACT!L43*1000000/AN$7,"")</f>
        <v>0</v>
      </c>
      <c r="AO49" s="654">
        <f>IF(ISNUMBER(NSW!K43),NSW!K43*1000000/AO$7,"")</f>
        <v>51.467896258768107</v>
      </c>
      <c r="AP49" s="654">
        <f>IF(ISNUMBER(NSW!L43),NSW!L43*1000000/AP$7,"")</f>
        <v>56.876942276326318</v>
      </c>
      <c r="AQ49" s="647" t="str">
        <f>IF(ISNUMBER(NT!K43),NT!K43*1000000/AQ$7,"")</f>
        <v/>
      </c>
      <c r="AR49" s="653" t="str">
        <f>IF(ISNUMBER(NT!L43),NT!L43*1000000/AR$7,"")</f>
        <v/>
      </c>
      <c r="AS49" s="654">
        <f>IF(ISNUMBER(Qld!K43),Qld!K43*1000000/AS$7,"")</f>
        <v>865.84269319155294</v>
      </c>
      <c r="AT49" s="654">
        <f>IF(ISNUMBER(Qld!L43),Qld!L43*1000000/AT$7,"")</f>
        <v>196.61593780418522</v>
      </c>
      <c r="AU49" s="647">
        <f>IF(ISNUMBER(SA!K43),SA!K43*1000000/AU$7,"")</f>
        <v>0</v>
      </c>
      <c r="AV49" s="653">
        <f>IF(ISNUMBER(SA!L43),SA!L43*1000000/AV$7,"")</f>
        <v>2.2385699683402249</v>
      </c>
      <c r="AW49" s="654" t="str">
        <f>IF(ISNUMBER(TAS!K43),TAS!K43*1000000/AW$7,"")</f>
        <v/>
      </c>
      <c r="AX49" s="654" t="str">
        <f>IF(ISNUMBER(TAS!L43),TAS!L43*1000000/AX$7,"")</f>
        <v/>
      </c>
      <c r="AY49" s="647">
        <f>IF(ISNUMBER(Vic!K43),Vic!K43*1000000/AY$7,"")</f>
        <v>52.861803479300953</v>
      </c>
      <c r="AZ49" s="653">
        <f>IF(ISNUMBER(Vic!L43),Vic!L43*1000000/AZ$7,"")</f>
        <v>173.41468138150753</v>
      </c>
      <c r="BA49" s="647">
        <f>IF(ISNUMBER(WA!L43),WA!L43*1000000/BA$7,"")</f>
        <v>0.82145708493044778</v>
      </c>
      <c r="BB49" s="655">
        <f>IF(ISNUMBER(WA!M43),WA!M43*1000000/BB$7,"")</f>
        <v>14.986738585607117</v>
      </c>
      <c r="BD49" s="647">
        <v>0</v>
      </c>
      <c r="BE49" s="654">
        <v>102.65731060672286</v>
      </c>
      <c r="BF49" s="654">
        <v>0</v>
      </c>
      <c r="BG49" s="654">
        <v>2394.8557770574316</v>
      </c>
      <c r="BH49" s="654">
        <v>15.765382444888344</v>
      </c>
      <c r="BI49" s="654" t="s">
        <v>855</v>
      </c>
      <c r="BJ49" s="654">
        <v>296.7584257161418</v>
      </c>
      <c r="BK49" s="653">
        <v>0</v>
      </c>
      <c r="BM49" s="647">
        <f t="shared" si="8"/>
        <v>0</v>
      </c>
      <c r="BN49" s="654">
        <f t="shared" si="9"/>
        <v>54.18078595002445</v>
      </c>
      <c r="BO49" s="654" t="str">
        <f t="shared" si="10"/>
        <v/>
      </c>
      <c r="BP49" s="654">
        <f t="shared" si="11"/>
        <v>530.07896390333781</v>
      </c>
      <c r="BQ49" s="654">
        <f t="shared" si="12"/>
        <v>1.1214048295167993</v>
      </c>
      <c r="BR49" s="654" t="str">
        <f t="shared" si="13"/>
        <v/>
      </c>
      <c r="BS49" s="654">
        <f t="shared" si="14"/>
        <v>113.38790202081493</v>
      </c>
      <c r="BT49" s="653">
        <f t="shared" si="15"/>
        <v>7.9283617278979071</v>
      </c>
    </row>
    <row r="50" spans="2:72">
      <c r="B50" s="1033" t="s">
        <v>42</v>
      </c>
      <c r="C50" s="1036" t="s">
        <v>154</v>
      </c>
      <c r="D50" s="639" t="s">
        <v>43</v>
      </c>
      <c r="E50" s="640" t="s">
        <v>110</v>
      </c>
      <c r="F50" s="641">
        <f>IF(ISNUMBER(ACT!K44),ACT!K44,"")</f>
        <v>0</v>
      </c>
      <c r="G50" s="529" t="s">
        <v>757</v>
      </c>
      <c r="H50" s="642">
        <f>IF(ISNUMBER(ACT!L44),ACT!L44,"")</f>
        <v>0</v>
      </c>
      <c r="I50" s="530" t="s">
        <v>757</v>
      </c>
      <c r="J50" s="642">
        <f>IF(ISNUMBER(NSW!K44),NSW!K44,"")</f>
        <v>164.79340000000002</v>
      </c>
      <c r="K50" s="529" t="s">
        <v>757</v>
      </c>
      <c r="L50" s="642">
        <f>IF(ISNUMBER(NSW!L44),NSW!L44,"")</f>
        <v>111.2334</v>
      </c>
      <c r="M50" s="530" t="s">
        <v>757</v>
      </c>
      <c r="N50" s="641" t="str">
        <f>IF(ISNUMBER(NT!K44),NT!K44,"")</f>
        <v/>
      </c>
      <c r="O50" s="529" t="s">
        <v>757</v>
      </c>
      <c r="P50" s="642">
        <f>IF(ISNUMBER(NT!L44),NT!L44,"")</f>
        <v>0.06</v>
      </c>
      <c r="Q50" s="530" t="s">
        <v>757</v>
      </c>
      <c r="R50" s="641">
        <f>IF(ISNUMBER(Qld!K44),Qld!K44,"")</f>
        <v>568.38099999999997</v>
      </c>
      <c r="S50" s="529" t="s">
        <v>757</v>
      </c>
      <c r="T50" s="642">
        <f>IF(ISNUMBER(Qld!L44),Qld!L44,"")</f>
        <v>612.120001</v>
      </c>
      <c r="U50" s="530" t="s">
        <v>757</v>
      </c>
      <c r="V50" s="641">
        <f>IF(ISNUMBER(SA!K44),SA!K44,"")</f>
        <v>7.32</v>
      </c>
      <c r="W50" s="529" t="s">
        <v>757</v>
      </c>
      <c r="X50" s="642">
        <f>IF(ISNUMBER(SA!L44),SA!L44,"")</f>
        <v>3.96</v>
      </c>
      <c r="Y50" s="530" t="s">
        <v>757</v>
      </c>
      <c r="Z50" s="641" t="str">
        <f>IF(ISNUMBER(TAS!K44),TAS!K44,"")</f>
        <v/>
      </c>
      <c r="AA50" s="529" t="s">
        <v>757</v>
      </c>
      <c r="AB50" s="642">
        <f>IF(ISNUMBER(TAS!L44),TAS!L44,"")</f>
        <v>0.28499999999999998</v>
      </c>
      <c r="AC50" s="530" t="s">
        <v>757</v>
      </c>
      <c r="AD50" s="641">
        <f>IF(ISNUMBER(Vic!K44),Vic!K44,"")</f>
        <v>519.37</v>
      </c>
      <c r="AE50" s="541" t="s">
        <v>757</v>
      </c>
      <c r="AF50" s="642">
        <f>IF(ISNUMBER(Vic!L44),Vic!L44,"")</f>
        <v>841.78099999999995</v>
      </c>
      <c r="AG50" s="542" t="s">
        <v>757</v>
      </c>
      <c r="AH50" s="641" t="str">
        <f>IF(ISNUMBER(WA!L44),WA!L44,"")</f>
        <v/>
      </c>
      <c r="AI50" s="529" t="s">
        <v>757</v>
      </c>
      <c r="AJ50" s="642">
        <f>IF(ISNUMBER(WA!M44),WA!M44,"")</f>
        <v>910.096</v>
      </c>
      <c r="AK50" s="530" t="s">
        <v>757</v>
      </c>
      <c r="AL50" s="652"/>
      <c r="AM50" s="644">
        <f>IF(ISNUMBER(ACT!K44),ACT!K44*1000000/AM$7,"")</f>
        <v>0</v>
      </c>
      <c r="AN50" s="645">
        <f>IF(ISNUMBER(ACT!L44),ACT!L44*1000000/AN$7,"")</f>
        <v>0</v>
      </c>
      <c r="AO50" s="646">
        <f>IF(ISNUMBER(NSW!K44),NSW!K44*1000000/AO$7,"")</f>
        <v>21.978985487820317</v>
      </c>
      <c r="AP50" s="646">
        <f>IF(ISNUMBER(NSW!L44),NSW!L44*1000000/AP$7,"")</f>
        <v>14.744022146506538</v>
      </c>
      <c r="AQ50" s="644" t="str">
        <f>IF(ISNUMBER(NT!K44),NT!K44*1000000/AQ$7,"")</f>
        <v/>
      </c>
      <c r="AR50" s="645">
        <f>IF(ISNUMBER(NT!L44),NT!L44*1000000/AR$7,"")</f>
        <v>0.24499595756670015</v>
      </c>
      <c r="AS50" s="646">
        <f>IF(ISNUMBER(Qld!K44),Qld!K44*1000000/AS$7,"")</f>
        <v>120.76193041976585</v>
      </c>
      <c r="AT50" s="646">
        <f>IF(ISNUMBER(Qld!L44),Qld!L44*1000000/AT$7,"")</f>
        <v>129.16384724769296</v>
      </c>
      <c r="AU50" s="644">
        <f>IF(ISNUMBER(SA!K44),SA!K44*1000000/AU$7,"")</f>
        <v>4.3514600575201197</v>
      </c>
      <c r="AV50" s="645">
        <f>IF(ISNUMBER(SA!L44),SA!L44*1000000/AV$7,"")</f>
        <v>2.3451685382611878</v>
      </c>
      <c r="AW50" s="646" t="str">
        <f>IF(ISNUMBER(TAS!K44),TAS!K44*1000000/AW$7,"")</f>
        <v/>
      </c>
      <c r="AX50" s="646">
        <f>IF(ISNUMBER(TAS!L44),TAS!L44*1000000/AX$7,"")</f>
        <v>0.55341525173597628</v>
      </c>
      <c r="AY50" s="644">
        <f>IF(ISNUMBER(Vic!K44),Vic!K44*1000000/AY$7,"")</f>
        <v>89.278209134510021</v>
      </c>
      <c r="AZ50" s="645">
        <f>IF(ISNUMBER(Vic!L44),Vic!L44*1000000/AZ$7,"")</f>
        <v>143.50601040876779</v>
      </c>
      <c r="BA50" s="644" t="str">
        <f>IF(ISNUMBER(WA!L44),WA!L44*1000000/BA$7,"")</f>
        <v/>
      </c>
      <c r="BB50" s="645">
        <f>IF(ISNUMBER(WA!M44),WA!M44*1000000/BB$7,"")</f>
        <v>353.57141330896667</v>
      </c>
      <c r="BD50" s="644">
        <v>60.648601078871785</v>
      </c>
      <c r="BE50" s="646">
        <v>61.759663346392188</v>
      </c>
      <c r="BF50" s="646">
        <v>0</v>
      </c>
      <c r="BG50" s="646">
        <v>335.21563221518488</v>
      </c>
      <c r="BH50" s="646">
        <v>12.98255357393457</v>
      </c>
      <c r="BI50" s="646" t="s">
        <v>855</v>
      </c>
      <c r="BJ50" s="646">
        <v>116.64603279303716</v>
      </c>
      <c r="BK50" s="645">
        <v>0.16752379724811617</v>
      </c>
      <c r="BM50" s="644">
        <f t="shared" si="8"/>
        <v>0</v>
      </c>
      <c r="BN50" s="646">
        <f t="shared" si="9"/>
        <v>18.35031281586398</v>
      </c>
      <c r="BO50" s="646">
        <f t="shared" si="10"/>
        <v>0.12277546209614547</v>
      </c>
      <c r="BP50" s="646">
        <f t="shared" si="11"/>
        <v>124.97733111109252</v>
      </c>
      <c r="BQ50" s="646">
        <f t="shared" si="12"/>
        <v>3.3464144118914008</v>
      </c>
      <c r="BR50" s="646">
        <f t="shared" si="13"/>
        <v>0.27682857414829076</v>
      </c>
      <c r="BS50" s="646">
        <f t="shared" si="14"/>
        <v>116.50441311014556</v>
      </c>
      <c r="BT50" s="645">
        <f t="shared" si="15"/>
        <v>177.39134366980466</v>
      </c>
    </row>
    <row r="51" spans="2:72">
      <c r="B51" s="1034"/>
      <c r="C51" s="1038"/>
      <c r="D51" s="648" t="s">
        <v>44</v>
      </c>
      <c r="E51" s="649" t="s">
        <v>111</v>
      </c>
      <c r="F51" s="650">
        <f>IF(ISNUMBER(ACT!K45),ACT!K45,"")</f>
        <v>0</v>
      </c>
      <c r="G51" s="532" t="s">
        <v>757</v>
      </c>
      <c r="H51" s="651">
        <f>IF(ISNUMBER(ACT!L45),ACT!L45,"")</f>
        <v>0</v>
      </c>
      <c r="I51" s="534" t="s">
        <v>757</v>
      </c>
      <c r="J51" s="651">
        <f>IF(ISNUMBER(NSW!K45),NSW!K45,"")</f>
        <v>0.74560000000000004</v>
      </c>
      <c r="K51" s="532" t="s">
        <v>757</v>
      </c>
      <c r="L51" s="651">
        <f>IF(ISNUMBER(NSW!L45),NSW!L45,"")</f>
        <v>8.2289999999999992</v>
      </c>
      <c r="M51" s="534" t="s">
        <v>757</v>
      </c>
      <c r="N51" s="650" t="str">
        <f>IF(ISNUMBER(NT!K45),NT!K45,"")</f>
        <v/>
      </c>
      <c r="O51" s="532" t="s">
        <v>757</v>
      </c>
      <c r="P51" s="651" t="str">
        <f>IF(ISNUMBER(NT!L45),NT!L45,"")</f>
        <v/>
      </c>
      <c r="Q51" s="534" t="s">
        <v>757</v>
      </c>
      <c r="R51" s="650">
        <f>IF(ISNUMBER(Qld!K45),Qld!K45,"")</f>
        <v>9.1980000000000004</v>
      </c>
      <c r="S51" s="532" t="s">
        <v>757</v>
      </c>
      <c r="T51" s="651">
        <f>IF(ISNUMBER(Qld!L45),Qld!L45,"")</f>
        <v>12.502000999999998</v>
      </c>
      <c r="U51" s="534" t="s">
        <v>757</v>
      </c>
      <c r="V51" s="650">
        <f>IF(ISNUMBER(SA!K45),SA!K45,"")</f>
        <v>31.82</v>
      </c>
      <c r="W51" s="532" t="s">
        <v>757</v>
      </c>
      <c r="X51" s="651">
        <f>IF(ISNUMBER(SA!L45),SA!L45,"")</f>
        <v>45.29</v>
      </c>
      <c r="Y51" s="534" t="s">
        <v>757</v>
      </c>
      <c r="Z51" s="650" t="str">
        <f>IF(ISNUMBER(TAS!K45),TAS!K45,"")</f>
        <v/>
      </c>
      <c r="AA51" s="532" t="s">
        <v>757</v>
      </c>
      <c r="AB51" s="651" t="str">
        <f>IF(ISNUMBER(TAS!L45),TAS!L45,"")</f>
        <v/>
      </c>
      <c r="AC51" s="534" t="s">
        <v>757</v>
      </c>
      <c r="AD51" s="650">
        <f>IF(ISNUMBER(Vic!K45),Vic!K45,"")</f>
        <v>0</v>
      </c>
      <c r="AE51" s="539" t="s">
        <v>757</v>
      </c>
      <c r="AF51" s="651">
        <f>IF(ISNUMBER(Vic!L45),Vic!L45,"")</f>
        <v>0.81</v>
      </c>
      <c r="AG51" s="540" t="s">
        <v>757</v>
      </c>
      <c r="AH51" s="650">
        <f>IF(ISNUMBER(WA!L45),WA!L45,"")</f>
        <v>339.35849999999999</v>
      </c>
      <c r="AI51" s="532" t="s">
        <v>757</v>
      </c>
      <c r="AJ51" s="651">
        <f>IF(ISNUMBER(WA!M45),WA!M45,"")</f>
        <v>155.75550000000001</v>
      </c>
      <c r="AK51" s="534" t="s">
        <v>757</v>
      </c>
      <c r="AL51" s="652"/>
      <c r="AM51" s="647">
        <f>IF(ISNUMBER(ACT!K45),ACT!K45*1000000/AM$7,"")</f>
        <v>0</v>
      </c>
      <c r="AN51" s="653">
        <f>IF(ISNUMBER(ACT!L45),ACT!L45*1000000/AN$7,"")</f>
        <v>0</v>
      </c>
      <c r="AO51" s="654">
        <f>IF(ISNUMBER(NSW!K45),NSW!K45*1000000/AO$7,"")</f>
        <v>9.944288775957548E-2</v>
      </c>
      <c r="AP51" s="654">
        <f>IF(ISNUMBER(NSW!L45),NSW!L45*1000000/AP$7,"")</f>
        <v>1.0907565375471961</v>
      </c>
      <c r="AQ51" s="647" t="str">
        <f>IF(ISNUMBER(NT!K45),NT!K45*1000000/AQ$7,"")</f>
        <v/>
      </c>
      <c r="AR51" s="653" t="str">
        <f>IF(ISNUMBER(NT!L45),NT!L45*1000000/AR$7,"")</f>
        <v/>
      </c>
      <c r="AS51" s="654">
        <f>IF(ISNUMBER(Qld!K45),Qld!K45*1000000/AS$7,"")</f>
        <v>1.9542670075196149</v>
      </c>
      <c r="AT51" s="654">
        <f>IF(ISNUMBER(Qld!L45),Qld!L45*1000000/AT$7,"")</f>
        <v>2.6380555198595848</v>
      </c>
      <c r="AU51" s="647">
        <f>IF(ISNUMBER(SA!K45),SA!K45*1000000/AU$7,"")</f>
        <v>18.915773091569701</v>
      </c>
      <c r="AV51" s="653">
        <f>IF(ISNUMBER(SA!L45),SA!L45*1000000/AV$7,"")</f>
        <v>26.82138462066899</v>
      </c>
      <c r="AW51" s="654" t="str">
        <f>IF(ISNUMBER(TAS!K45),TAS!K45*1000000/AW$7,"")</f>
        <v/>
      </c>
      <c r="AX51" s="654" t="str">
        <f>IF(ISNUMBER(TAS!L45),TAS!L45*1000000/AX$7,"")</f>
        <v/>
      </c>
      <c r="AY51" s="647">
        <f>IF(ISNUMBER(Vic!K45),Vic!K45*1000000/AY$7,"")</f>
        <v>0</v>
      </c>
      <c r="AZ51" s="653">
        <f>IF(ISNUMBER(Vic!L45),Vic!L45*1000000/AZ$7,"")</f>
        <v>0.13808801627870185</v>
      </c>
      <c r="BA51" s="647">
        <f>IF(ISNUMBER(WA!L45),WA!L45*1000000/BA$7,"")</f>
        <v>132.74687816969973</v>
      </c>
      <c r="BB51" s="655">
        <f>IF(ISNUMBER(WA!M45),WA!M45*1000000/BB$7,"")</f>
        <v>60.510860684636299</v>
      </c>
      <c r="BD51" s="647">
        <v>0</v>
      </c>
      <c r="BE51" s="654">
        <v>0.87707177527962232</v>
      </c>
      <c r="BF51" s="654">
        <v>0</v>
      </c>
      <c r="BG51" s="654">
        <v>10.910017385433587</v>
      </c>
      <c r="BH51" s="654">
        <v>32.426525255963526</v>
      </c>
      <c r="BI51" s="654" t="s">
        <v>855</v>
      </c>
      <c r="BJ51" s="654">
        <v>2.316769484575933</v>
      </c>
      <c r="BK51" s="653">
        <v>218.27861430406034</v>
      </c>
      <c r="BM51" s="647">
        <f t="shared" si="8"/>
        <v>0</v>
      </c>
      <c r="BN51" s="654">
        <f t="shared" si="9"/>
        <v>0.59663307112661845</v>
      </c>
      <c r="BO51" s="654" t="str">
        <f t="shared" si="10"/>
        <v/>
      </c>
      <c r="BP51" s="654">
        <f t="shared" si="11"/>
        <v>2.29733664587383</v>
      </c>
      <c r="BQ51" s="654">
        <f t="shared" si="12"/>
        <v>22.87606518625407</v>
      </c>
      <c r="BR51" s="654" t="str">
        <f t="shared" si="13"/>
        <v/>
      </c>
      <c r="BS51" s="654">
        <f t="shared" si="14"/>
        <v>6.9329982213007901E-2</v>
      </c>
      <c r="BT51" s="653">
        <f t="shared" si="15"/>
        <v>96.505135424978974</v>
      </c>
    </row>
    <row r="52" spans="2:72">
      <c r="B52" s="1035"/>
      <c r="C52" s="1037"/>
      <c r="D52" s="667" t="s">
        <v>45</v>
      </c>
      <c r="E52" s="668" t="s">
        <v>155</v>
      </c>
      <c r="F52" s="656">
        <f>IF(ISNUMBER(ACT!K46),ACT!K46,"")</f>
        <v>0</v>
      </c>
      <c r="G52" s="535" t="s">
        <v>757</v>
      </c>
      <c r="H52" s="657">
        <f>IF(ISNUMBER(ACT!L46),ACT!L46,"")</f>
        <v>0</v>
      </c>
      <c r="I52" s="536" t="s">
        <v>757</v>
      </c>
      <c r="J52" s="657">
        <f>IF(ISNUMBER(NSW!K46),NSW!K46,"")</f>
        <v>16.36</v>
      </c>
      <c r="K52" s="535" t="s">
        <v>757</v>
      </c>
      <c r="L52" s="657">
        <f>IF(ISNUMBER(NSW!L46),NSW!L46,"")</f>
        <v>20.475000000000001</v>
      </c>
      <c r="M52" s="536" t="s">
        <v>757</v>
      </c>
      <c r="N52" s="656" t="str">
        <f>IF(ISNUMBER(NT!K46),NT!K46,"")</f>
        <v/>
      </c>
      <c r="O52" s="535" t="s">
        <v>757</v>
      </c>
      <c r="P52" s="657" t="str">
        <f>IF(ISNUMBER(NT!L46),NT!L46,"")</f>
        <v/>
      </c>
      <c r="Q52" s="536" t="s">
        <v>757</v>
      </c>
      <c r="R52" s="656">
        <f>IF(ISNUMBER(Qld!K46),Qld!K46,"")</f>
        <v>23.18</v>
      </c>
      <c r="S52" s="535" t="s">
        <v>757</v>
      </c>
      <c r="T52" s="657">
        <f>IF(ISNUMBER(Qld!L46),Qld!L46,"")</f>
        <v>10.340001000000001</v>
      </c>
      <c r="U52" s="536" t="s">
        <v>757</v>
      </c>
      <c r="V52" s="656">
        <f>IF(ISNUMBER(SA!K46),SA!K46,"")</f>
        <v>60.49</v>
      </c>
      <c r="W52" s="535" t="s">
        <v>757</v>
      </c>
      <c r="X52" s="657">
        <f>IF(ISNUMBER(SA!L46),SA!L46,"")</f>
        <v>53.93</v>
      </c>
      <c r="Y52" s="536" t="s">
        <v>757</v>
      </c>
      <c r="Z52" s="656" t="str">
        <f>IF(ISNUMBER(TAS!K46),TAS!K46,"")</f>
        <v/>
      </c>
      <c r="AA52" s="535" t="s">
        <v>757</v>
      </c>
      <c r="AB52" s="657" t="str">
        <f>IF(ISNUMBER(TAS!L46),TAS!L46,"")</f>
        <v/>
      </c>
      <c r="AC52" s="536" t="s">
        <v>757</v>
      </c>
      <c r="AD52" s="656">
        <f>IF(ISNUMBER(Vic!K46),Vic!K46,"")</f>
        <v>6.2799999999999994</v>
      </c>
      <c r="AE52" s="537" t="s">
        <v>757</v>
      </c>
      <c r="AF52" s="657">
        <f>IF(ISNUMBER(Vic!L46),Vic!L46,"")</f>
        <v>5.8800000000000008</v>
      </c>
      <c r="AG52" s="538" t="s">
        <v>757</v>
      </c>
      <c r="AH52" s="656">
        <f>IF(ISNUMBER(WA!L46),WA!L46,"")</f>
        <v>20.472000000000001</v>
      </c>
      <c r="AI52" s="535" t="s">
        <v>757</v>
      </c>
      <c r="AJ52" s="657">
        <f>IF(ISNUMBER(WA!M46),WA!M46,"")</f>
        <v>18.350000000000001</v>
      </c>
      <c r="AK52" s="536" t="s">
        <v>757</v>
      </c>
      <c r="AL52" s="652"/>
      <c r="AM52" s="669">
        <f>IF(ISNUMBER(ACT!K46),ACT!K46*1000000/AM$7,"")</f>
        <v>0</v>
      </c>
      <c r="AN52" s="670">
        <f>IF(ISNUMBER(ACT!L46),ACT!L46*1000000/AN$7,"")</f>
        <v>0</v>
      </c>
      <c r="AO52" s="671">
        <f>IF(ISNUMBER(NSW!K46),NSW!K46*1000000/AO$7,"")</f>
        <v>2.1819818183297408</v>
      </c>
      <c r="AP52" s="671">
        <f>IF(ISNUMBER(NSW!L46),NSW!L46*1000000/AP$7,"")</f>
        <v>2.7139676882098485</v>
      </c>
      <c r="AQ52" s="669" t="str">
        <f>IF(ISNUMBER(NT!K46),NT!K46*1000000/AQ$7,"")</f>
        <v/>
      </c>
      <c r="AR52" s="670" t="str">
        <f>IF(ISNUMBER(NT!L46),NT!L46*1000000/AR$7,"")</f>
        <v/>
      </c>
      <c r="AS52" s="671">
        <f>IF(ISNUMBER(Qld!K46),Qld!K46*1000000/AS$7,"")</f>
        <v>4.9249738241253178</v>
      </c>
      <c r="AT52" s="671">
        <f>IF(ISNUMBER(Qld!L46),Qld!L46*1000000/AT$7,"")</f>
        <v>2.181850466449621</v>
      </c>
      <c r="AU52" s="669">
        <f>IF(ISNUMBER(SA!K46),SA!K46*1000000/AU$7,"")</f>
        <v>35.958991650190171</v>
      </c>
      <c r="AV52" s="670">
        <f>IF(ISNUMBER(SA!L46),SA!L46*1000000/AV$7,"")</f>
        <v>31.938115976875217</v>
      </c>
      <c r="AW52" s="671" t="str">
        <f>IF(ISNUMBER(TAS!K46),TAS!K46*1000000/AW$7,"")</f>
        <v/>
      </c>
      <c r="AX52" s="671" t="str">
        <f>IF(ISNUMBER(TAS!L46),TAS!L46*1000000/AX$7,"")</f>
        <v/>
      </c>
      <c r="AY52" s="669">
        <f>IF(ISNUMBER(Vic!K46),Vic!K46*1000000/AY$7,"")</f>
        <v>1.0795139368171494</v>
      </c>
      <c r="AZ52" s="670">
        <f>IF(ISNUMBER(Vic!L46),Vic!L46*1000000/AZ$7,"")</f>
        <v>1.0024167107639099</v>
      </c>
      <c r="BA52" s="669">
        <f>IF(ISNUMBER(WA!L46),WA!L46*1000000/BA$7,"")</f>
        <v>8.0080330679505387</v>
      </c>
      <c r="BB52" s="672">
        <f>IF(ISNUMBER(WA!M46),WA!M46*1000000/BB$7,"")</f>
        <v>7.1289572025583441</v>
      </c>
      <c r="BD52" s="669">
        <v>0</v>
      </c>
      <c r="BE52" s="671">
        <v>1.1894043818184288</v>
      </c>
      <c r="BF52" s="671">
        <v>0</v>
      </c>
      <c r="BG52" s="671">
        <v>44.067913360770959</v>
      </c>
      <c r="BH52" s="671">
        <v>181.37355894551089</v>
      </c>
      <c r="BI52" s="671" t="s">
        <v>855</v>
      </c>
      <c r="BJ52" s="671">
        <v>5.4585590834876809</v>
      </c>
      <c r="BK52" s="670">
        <v>7.810098800190751</v>
      </c>
      <c r="BM52" s="669">
        <f t="shared" si="8"/>
        <v>0</v>
      </c>
      <c r="BN52" s="671">
        <f t="shared" si="9"/>
        <v>2.4487976260723587</v>
      </c>
      <c r="BO52" s="671" t="str">
        <f t="shared" si="10"/>
        <v/>
      </c>
      <c r="BP52" s="671">
        <f t="shared" si="11"/>
        <v>3.5486969178954153</v>
      </c>
      <c r="BQ52" s="671">
        <f t="shared" si="12"/>
        <v>33.944746188706922</v>
      </c>
      <c r="BR52" s="671" t="str">
        <f t="shared" si="13"/>
        <v/>
      </c>
      <c r="BS52" s="671">
        <f t="shared" si="14"/>
        <v>1.0408056589014518</v>
      </c>
      <c r="BT52" s="670">
        <f t="shared" si="15"/>
        <v>7.5669893549132805</v>
      </c>
    </row>
    <row r="53" spans="2:72">
      <c r="B53" s="1033" t="s">
        <v>46</v>
      </c>
      <c r="C53" s="1036" t="s">
        <v>156</v>
      </c>
      <c r="D53" s="648" t="s">
        <v>47</v>
      </c>
      <c r="E53" s="649" t="s">
        <v>112</v>
      </c>
      <c r="F53" s="641">
        <f>IF(ISNUMBER(ACT!K47),ACT!K47,"")</f>
        <v>723.21</v>
      </c>
      <c r="G53" s="529" t="s">
        <v>757</v>
      </c>
      <c r="H53" s="642">
        <f>IF(ISNUMBER(ACT!L47),ACT!L47,"")</f>
        <v>691.19</v>
      </c>
      <c r="I53" s="530" t="s">
        <v>757</v>
      </c>
      <c r="J53" s="642">
        <f>IF(ISNUMBER(NSW!K47),NSW!K47,"")</f>
        <v>15080.957614999998</v>
      </c>
      <c r="K53" s="529" t="s">
        <v>757</v>
      </c>
      <c r="L53" s="642">
        <f>IF(ISNUMBER(NSW!L47),NSW!L47,"")</f>
        <v>15921.85434999996</v>
      </c>
      <c r="M53" s="530" t="s">
        <v>757</v>
      </c>
      <c r="N53" s="641">
        <f>IF(ISNUMBER(NT!K47),NT!K47,"")</f>
        <v>2019.6373599999999</v>
      </c>
      <c r="O53" s="529" t="s">
        <v>757</v>
      </c>
      <c r="P53" s="642">
        <f>IF(ISNUMBER(NT!L47),NT!L47,"")</f>
        <v>1203.2172</v>
      </c>
      <c r="Q53" s="530" t="s">
        <v>757</v>
      </c>
      <c r="R53" s="641">
        <f>IF(ISNUMBER(Qld!K47),Qld!K47,"")</f>
        <v>39079.252000000997</v>
      </c>
      <c r="S53" s="529" t="s">
        <v>757</v>
      </c>
      <c r="T53" s="642">
        <f>IF(ISNUMBER(Qld!L47),Qld!L47,"")</f>
        <v>32199.314001002371</v>
      </c>
      <c r="U53" s="530" t="s">
        <v>757</v>
      </c>
      <c r="V53" s="641">
        <f>IF(ISNUMBER(SA!K47),SA!K47,"")</f>
        <v>742.00199999999995</v>
      </c>
      <c r="W53" s="529" t="s">
        <v>757</v>
      </c>
      <c r="X53" s="642">
        <f>IF(ISNUMBER(SA!L47),SA!L47,"")</f>
        <v>1764.6</v>
      </c>
      <c r="Y53" s="530" t="s">
        <v>757</v>
      </c>
      <c r="Z53" s="641">
        <f>IF(ISNUMBER(TAS!K47),TAS!K47,"")</f>
        <v>17.88</v>
      </c>
      <c r="AA53" s="529" t="s">
        <v>757</v>
      </c>
      <c r="AB53" s="642">
        <f>IF(ISNUMBER(TAS!L47),TAS!L47,"")</f>
        <v>20.059999999999999</v>
      </c>
      <c r="AC53" s="530" t="s">
        <v>757</v>
      </c>
      <c r="AD53" s="641">
        <f>IF(ISNUMBER(Vic!K47),Vic!K47,"")</f>
        <v>10929.845000000003</v>
      </c>
      <c r="AE53" s="541" t="s">
        <v>757</v>
      </c>
      <c r="AF53" s="642">
        <f>IF(ISNUMBER(Vic!L47),Vic!L47,"")</f>
        <v>12759.48000000001</v>
      </c>
      <c r="AG53" s="542" t="s">
        <v>757</v>
      </c>
      <c r="AH53" s="641">
        <f>IF(ISNUMBER(WA!L47),WA!L47,"")</f>
        <v>52272.143780000006</v>
      </c>
      <c r="AI53" s="529" t="s">
        <v>757</v>
      </c>
      <c r="AJ53" s="642">
        <f>IF(ISNUMBER(WA!M47),WA!M47,"")</f>
        <v>51159.365189999997</v>
      </c>
      <c r="AK53" s="530" t="s">
        <v>757</v>
      </c>
      <c r="AL53" s="652"/>
      <c r="AM53" s="647">
        <f>IF(ISNUMBER(ACT!K47),ACT!K47*1000000/AM$7,"")</f>
        <v>1878.7505650201849</v>
      </c>
      <c r="AN53" s="653">
        <f>IF(ISNUMBER(ACT!L47),ACT!L47*1000000/AN$7,"")</f>
        <v>1787.6836333540243</v>
      </c>
      <c r="AO53" s="654">
        <f>IF(ISNUMBER(NSW!K47),NSW!K47*1000000/AO$7,"")</f>
        <v>2011.3921344090127</v>
      </c>
      <c r="AP53" s="654">
        <f>IF(ISNUMBER(NSW!L47),NSW!L47*1000000/AP$7,"")</f>
        <v>2110.4468005999174</v>
      </c>
      <c r="AQ53" s="647">
        <f>IF(ISNUMBER(NT!K47),NT!K47*1000000/AQ$7,"")</f>
        <v>8284.1623495149615</v>
      </c>
      <c r="AR53" s="653">
        <f>IF(ISNUMBER(NT!L47),NT!L47*1000000/AR$7,"")</f>
        <v>4913.0558345787294</v>
      </c>
      <c r="AS53" s="654">
        <f>IF(ISNUMBER(Qld!K47),Qld!K47*1000000/AS$7,"")</f>
        <v>8303.032492079461</v>
      </c>
      <c r="AT53" s="654">
        <f>IF(ISNUMBER(Qld!L47),Qld!L47*1000000/AT$7,"")</f>
        <v>6794.3985955557291</v>
      </c>
      <c r="AU53" s="647">
        <f>IF(ISNUMBER(SA!K47),SA!K47*1000000/AU$7,"")</f>
        <v>441.09181224044312</v>
      </c>
      <c r="AV53" s="653">
        <f>IF(ISNUMBER(SA!L47),SA!L47*1000000/AV$7,"")</f>
        <v>1045.0213137918415</v>
      </c>
      <c r="AW53" s="654">
        <f>IF(ISNUMBER(TAS!K47),TAS!K47*1000000/AW$7,"")</f>
        <v>34.749890191901798</v>
      </c>
      <c r="AX53" s="654">
        <f>IF(ISNUMBER(TAS!L47),TAS!L47*1000000/AX$7,"")</f>
        <v>38.952666490609417</v>
      </c>
      <c r="AY53" s="647">
        <f>IF(ISNUMBER(Vic!K47),Vic!K47*1000000/AY$7,"")</f>
        <v>1878.8089179540193</v>
      </c>
      <c r="AZ53" s="653">
        <f>IF(ISNUMBER(Vic!L47),Vic!L47*1000000/AZ$7,"")</f>
        <v>2175.2238048737927</v>
      </c>
      <c r="BA53" s="647">
        <f>IF(ISNUMBER(WA!L47),WA!L47*1000000/BA$7,"")</f>
        <v>20447.296596468597</v>
      </c>
      <c r="BB53" s="655">
        <f>IF(ISNUMBER(WA!M47),WA!M47*1000000/BB$7,"")</f>
        <v>19875.363757469378</v>
      </c>
      <c r="BD53" s="647">
        <v>3958.6446665806825</v>
      </c>
      <c r="BE53" s="654">
        <v>3974.3674772192089</v>
      </c>
      <c r="BF53" s="654">
        <v>5748.8957596704367</v>
      </c>
      <c r="BG53" s="654">
        <v>15510.194127715231</v>
      </c>
      <c r="BH53" s="654">
        <v>756.4457423016861</v>
      </c>
      <c r="BI53" s="654">
        <v>125.00973899493573</v>
      </c>
      <c r="BJ53" s="654">
        <v>4077.0435877725449</v>
      </c>
      <c r="BK53" s="653">
        <v>44105.350212396763</v>
      </c>
      <c r="BM53" s="647">
        <f t="shared" si="8"/>
        <v>1833.1168948990517</v>
      </c>
      <c r="BN53" s="654">
        <f t="shared" si="9"/>
        <v>2061.0726847145274</v>
      </c>
      <c r="BO53" s="654">
        <f t="shared" si="10"/>
        <v>6594.7909645444925</v>
      </c>
      <c r="BP53" s="654">
        <f t="shared" si="11"/>
        <v>7546.1223130561839</v>
      </c>
      <c r="BQ53" s="654">
        <f t="shared" si="12"/>
        <v>743.62846255991212</v>
      </c>
      <c r="BR53" s="654">
        <f t="shared" si="13"/>
        <v>36.852196853284738</v>
      </c>
      <c r="BS53" s="654">
        <f t="shared" si="14"/>
        <v>2027.6302233187214</v>
      </c>
      <c r="BT53" s="653">
        <f t="shared" si="15"/>
        <v>20160.350505862847</v>
      </c>
    </row>
    <row r="54" spans="2:72">
      <c r="B54" s="1034"/>
      <c r="C54" s="1038"/>
      <c r="D54" s="648" t="s">
        <v>48</v>
      </c>
      <c r="E54" s="649" t="s">
        <v>157</v>
      </c>
      <c r="F54" s="650">
        <f>IF(ISNUMBER(ACT!K48),ACT!K48,"")</f>
        <v>556</v>
      </c>
      <c r="G54" s="532" t="s">
        <v>757</v>
      </c>
      <c r="H54" s="651">
        <f>IF(ISNUMBER(ACT!L48),ACT!L48,"")</f>
        <v>305</v>
      </c>
      <c r="I54" s="534" t="s">
        <v>757</v>
      </c>
      <c r="J54" s="651">
        <f>IF(ISNUMBER(NSW!K48),NSW!K48,"")</f>
        <v>44036.96839999994</v>
      </c>
      <c r="K54" s="532" t="s">
        <v>757</v>
      </c>
      <c r="L54" s="651">
        <f>IF(ISNUMBER(NSW!L48),NSW!L48,"")</f>
        <v>43727.018069999984</v>
      </c>
      <c r="M54" s="534" t="s">
        <v>757</v>
      </c>
      <c r="N54" s="650">
        <f>IF(ISNUMBER(NT!K48),NT!K48,"")</f>
        <v>1089.405</v>
      </c>
      <c r="O54" s="532" t="s">
        <v>757</v>
      </c>
      <c r="P54" s="651">
        <f>IF(ISNUMBER(NT!L48),NT!L48,"")</f>
        <v>2157.2600000000002</v>
      </c>
      <c r="Q54" s="534" t="s">
        <v>757</v>
      </c>
      <c r="R54" s="650">
        <f>IF(ISNUMBER(Qld!K48),Qld!K48,"")</f>
        <v>109136.85400000068</v>
      </c>
      <c r="S54" s="532" t="s">
        <v>757</v>
      </c>
      <c r="T54" s="651">
        <f>IF(ISNUMBER(Qld!L48),Qld!L48,"")</f>
        <v>99606.93700100045</v>
      </c>
      <c r="U54" s="534" t="s">
        <v>757</v>
      </c>
      <c r="V54" s="650">
        <f>IF(ISNUMBER(SA!K48),SA!K48,"")</f>
        <v>1810.72</v>
      </c>
      <c r="W54" s="532" t="s">
        <v>757</v>
      </c>
      <c r="X54" s="651">
        <f>IF(ISNUMBER(SA!L48),SA!L48,"")</f>
        <v>2018.08</v>
      </c>
      <c r="Y54" s="534" t="s">
        <v>757</v>
      </c>
      <c r="Z54" s="650">
        <f>IF(ISNUMBER(TAS!K48),TAS!K48,"")</f>
        <v>146.86000000000001</v>
      </c>
      <c r="AA54" s="532" t="s">
        <v>757</v>
      </c>
      <c r="AB54" s="651">
        <f>IF(ISNUMBER(TAS!L48),TAS!L48,"")</f>
        <v>160</v>
      </c>
      <c r="AC54" s="534" t="s">
        <v>757</v>
      </c>
      <c r="AD54" s="650">
        <f>IF(ISNUMBER(Vic!K48),Vic!K48,"")</f>
        <v>25231.578999999983</v>
      </c>
      <c r="AE54" s="539" t="s">
        <v>757</v>
      </c>
      <c r="AF54" s="651">
        <f>IF(ISNUMBER(Vic!L48),Vic!L48,"")</f>
        <v>30109.676000000061</v>
      </c>
      <c r="AG54" s="540" t="s">
        <v>757</v>
      </c>
      <c r="AH54" s="650">
        <f>IF(ISNUMBER(WA!L48),WA!L48,"")</f>
        <v>29846.110619999999</v>
      </c>
      <c r="AI54" s="532" t="s">
        <v>757</v>
      </c>
      <c r="AJ54" s="651">
        <f>IF(ISNUMBER(WA!M48),WA!M48,"")</f>
        <v>23961.438100000003</v>
      </c>
      <c r="AK54" s="534" t="s">
        <v>757</v>
      </c>
      <c r="AL54" s="652"/>
      <c r="AM54" s="647">
        <f>IF(ISNUMBER(ACT!K48),ACT!K48*1000000/AM$7,"")</f>
        <v>1444.3734380763856</v>
      </c>
      <c r="AN54" s="653">
        <f>IF(ISNUMBER(ACT!L48),ACT!L48*1000000/AN$7,"")</f>
        <v>788.84750672460166</v>
      </c>
      <c r="AO54" s="654">
        <f>IF(ISNUMBER(NSW!K48),NSW!K48*1000000/AO$7,"")</f>
        <v>5873.3413437140107</v>
      </c>
      <c r="AP54" s="654">
        <f>IF(ISNUMBER(NSW!L48),NSW!L48*1000000/AP$7,"")</f>
        <v>5796.0299948106531</v>
      </c>
      <c r="AQ54" s="647">
        <f>IF(ISNUMBER(NT!K48),NT!K48*1000000/AQ$7,"")</f>
        <v>4468.5288869747128</v>
      </c>
      <c r="AR54" s="653">
        <f>IF(ISNUMBER(NT!L48),NT!L48*1000000/AR$7,"")</f>
        <v>8808.6663236723252</v>
      </c>
      <c r="AS54" s="654">
        <f>IF(ISNUMBER(Qld!K48),Qld!K48*1000000/AS$7,"")</f>
        <v>23187.927057695852</v>
      </c>
      <c r="AT54" s="654">
        <f>IF(ISNUMBER(Qld!L48),Qld!L48*1000000/AT$7,"")</f>
        <v>21018.125816162963</v>
      </c>
      <c r="AU54" s="647">
        <f>IF(ISNUMBER(SA!K48),SA!K48*1000000/AU$7,"")</f>
        <v>1076.4037917148676</v>
      </c>
      <c r="AV54" s="653">
        <f>IF(ISNUMBER(SA!L48),SA!L48*1000000/AV$7,"")</f>
        <v>1195.1357888116511</v>
      </c>
      <c r="AW54" s="654">
        <f>IF(ISNUMBER(TAS!K48),TAS!K48*1000000/AW$7,"")</f>
        <v>285.42331507733212</v>
      </c>
      <c r="AX54" s="654">
        <f>IF(ISNUMBER(TAS!L48),TAS!L48*1000000/AX$7,"")</f>
        <v>310.68926413247789</v>
      </c>
      <c r="AY54" s="647">
        <f>IF(ISNUMBER(Vic!K48),Vic!K48*1000000/AY$7,"")</f>
        <v>4337.2358564335827</v>
      </c>
      <c r="AZ54" s="653">
        <f>IF(ISNUMBER(Vic!L48),Vic!L48*1000000/AZ$7,"")</f>
        <v>5133.0684316474653</v>
      </c>
      <c r="BA54" s="647">
        <f>IF(ISNUMBER(WA!L48),WA!L48*1000000/BA$7,"")</f>
        <v>11674.904298293755</v>
      </c>
      <c r="BB54" s="655">
        <f>IF(ISNUMBER(WA!M48),WA!M48*1000000/BB$7,"")</f>
        <v>9308.9954619428299</v>
      </c>
      <c r="BD54" s="647">
        <v>4068.2624857946967</v>
      </c>
      <c r="BE54" s="654">
        <v>13153.894805415333</v>
      </c>
      <c r="BF54" s="654">
        <v>2019.8529642114277</v>
      </c>
      <c r="BG54" s="654">
        <v>41731.67218692154</v>
      </c>
      <c r="BH54" s="654">
        <v>2330.6311228953364</v>
      </c>
      <c r="BI54" s="654">
        <v>36.229061160888193</v>
      </c>
      <c r="BJ54" s="654">
        <v>11128.968228991343</v>
      </c>
      <c r="BK54" s="653">
        <v>21477.178698024363</v>
      </c>
      <c r="BM54" s="647">
        <f t="shared" si="8"/>
        <v>1115.8891731533395</v>
      </c>
      <c r="BN54" s="654">
        <f t="shared" si="9"/>
        <v>5834.5660844952472</v>
      </c>
      <c r="BO54" s="654">
        <f t="shared" si="10"/>
        <v>6643.5132607730357</v>
      </c>
      <c r="BP54" s="654">
        <f t="shared" si="11"/>
        <v>22099.29670810742</v>
      </c>
      <c r="BQ54" s="654">
        <f t="shared" si="12"/>
        <v>1135.8822251994497</v>
      </c>
      <c r="BR54" s="654">
        <f t="shared" si="13"/>
        <v>298.06181144962983</v>
      </c>
      <c r="BS54" s="654">
        <f t="shared" si="14"/>
        <v>4736.8002775253553</v>
      </c>
      <c r="BT54" s="653">
        <f t="shared" si="15"/>
        <v>10487.897284483481</v>
      </c>
    </row>
    <row r="55" spans="2:72">
      <c r="B55" s="1035"/>
      <c r="C55" s="1037"/>
      <c r="D55" s="648" t="s">
        <v>49</v>
      </c>
      <c r="E55" s="649" t="s">
        <v>158</v>
      </c>
      <c r="F55" s="656">
        <f>IF(ISNUMBER(ACT!K49),ACT!K49,"")</f>
        <v>0</v>
      </c>
      <c r="G55" s="535" t="s">
        <v>757</v>
      </c>
      <c r="H55" s="657">
        <f>IF(ISNUMBER(ACT!L49),ACT!L49,"")</f>
        <v>0</v>
      </c>
      <c r="I55" s="536" t="s">
        <v>757</v>
      </c>
      <c r="J55" s="657">
        <f>IF(ISNUMBER(NSW!K49),NSW!K49,"")</f>
        <v>2197.3755000000001</v>
      </c>
      <c r="K55" s="535" t="s">
        <v>757</v>
      </c>
      <c r="L55" s="657">
        <f>IF(ISNUMBER(NSW!L49),NSW!L49,"")</f>
        <v>1919.9825799999996</v>
      </c>
      <c r="M55" s="536" t="s">
        <v>757</v>
      </c>
      <c r="N55" s="656" t="str">
        <f>IF(ISNUMBER(NT!K49),NT!K49,"")</f>
        <v/>
      </c>
      <c r="O55" s="535" t="s">
        <v>757</v>
      </c>
      <c r="P55" s="657" t="str">
        <f>IF(ISNUMBER(NT!L49),NT!L49,"")</f>
        <v/>
      </c>
      <c r="Q55" s="536" t="s">
        <v>757</v>
      </c>
      <c r="R55" s="656">
        <f>IF(ISNUMBER(Qld!K49),Qld!K49,"")</f>
        <v>120.97</v>
      </c>
      <c r="S55" s="535" t="s">
        <v>757</v>
      </c>
      <c r="T55" s="657">
        <f>IF(ISNUMBER(Qld!L49),Qld!L49,"")</f>
        <v>58.220000999999996</v>
      </c>
      <c r="U55" s="536" t="s">
        <v>757</v>
      </c>
      <c r="V55" s="656">
        <f>IF(ISNUMBER(SA!K49),SA!K49,"")</f>
        <v>2370.0500000000002</v>
      </c>
      <c r="W55" s="535" t="s">
        <v>757</v>
      </c>
      <c r="X55" s="657">
        <f>IF(ISNUMBER(SA!L49),SA!L49,"")</f>
        <v>42.79</v>
      </c>
      <c r="Y55" s="536" t="s">
        <v>757</v>
      </c>
      <c r="Z55" s="656" t="str">
        <f>IF(ISNUMBER(TAS!K49),TAS!K49,"")</f>
        <v/>
      </c>
      <c r="AA55" s="535" t="s">
        <v>757</v>
      </c>
      <c r="AB55" s="657" t="str">
        <f>IF(ISNUMBER(TAS!L49),TAS!L49,"")</f>
        <v/>
      </c>
      <c r="AC55" s="536" t="s">
        <v>757</v>
      </c>
      <c r="AD55" s="656">
        <f>IF(ISNUMBER(Vic!K49),Vic!K49,"")</f>
        <v>31.2</v>
      </c>
      <c r="AE55" s="537" t="s">
        <v>757</v>
      </c>
      <c r="AF55" s="657">
        <f>IF(ISNUMBER(Vic!L49),Vic!L49,"")</f>
        <v>36</v>
      </c>
      <c r="AG55" s="538" t="s">
        <v>757</v>
      </c>
      <c r="AH55" s="656">
        <f>IF(ISNUMBER(WA!L49),WA!L49,"")</f>
        <v>0.7</v>
      </c>
      <c r="AI55" s="535" t="s">
        <v>757</v>
      </c>
      <c r="AJ55" s="657">
        <f>IF(ISNUMBER(WA!M49),WA!M49,"")</f>
        <v>61.278999999999996</v>
      </c>
      <c r="AK55" s="536" t="s">
        <v>757</v>
      </c>
      <c r="AL55" s="652"/>
      <c r="AM55" s="647">
        <f>IF(ISNUMBER(ACT!K49),ACT!K49*1000000/AM$7,"")</f>
        <v>0</v>
      </c>
      <c r="AN55" s="653">
        <f>IF(ISNUMBER(ACT!L49),ACT!L49*1000000/AN$7,"")</f>
        <v>0</v>
      </c>
      <c r="AO55" s="654">
        <f>IF(ISNUMBER(NSW!K49),NSW!K49*1000000/AO$7,"")</f>
        <v>293.07050055276426</v>
      </c>
      <c r="AP55" s="654">
        <f>IF(ISNUMBER(NSW!L49),NSW!L49*1000000/AP$7,"")</f>
        <v>254.49429470309059</v>
      </c>
      <c r="AQ55" s="647" t="str">
        <f>IF(ISNUMBER(NT!K49),NT!K49*1000000/AQ$7,"")</f>
        <v/>
      </c>
      <c r="AR55" s="653" t="str">
        <f>IF(ISNUMBER(NT!L49),NT!L49*1000000/AR$7,"")</f>
        <v/>
      </c>
      <c r="AS55" s="654">
        <f>IF(ISNUMBER(Qld!K49),Qld!K49*1000000/AS$7,"")</f>
        <v>25.702074353081954</v>
      </c>
      <c r="AT55" s="654">
        <f>IF(ISNUMBER(Qld!L49),Qld!L49*1000000/AT$7,"")</f>
        <v>12.285041010977407</v>
      </c>
      <c r="AU55" s="647">
        <f>IF(ISNUMBER(SA!K49),SA!K49*1000000/AU$7,"")</f>
        <v>1408.9040859734371</v>
      </c>
      <c r="AV55" s="653">
        <f>IF(ISNUMBER(SA!L49),SA!L49*1000000/AV$7,"")</f>
        <v>25.340848927322281</v>
      </c>
      <c r="AW55" s="654" t="str">
        <f>IF(ISNUMBER(TAS!K49),TAS!K49*1000000/AW$7,"")</f>
        <v/>
      </c>
      <c r="AX55" s="654" t="str">
        <f>IF(ISNUMBER(TAS!L49),TAS!L49*1000000/AX$7,"")</f>
        <v/>
      </c>
      <c r="AY55" s="647">
        <f>IF(ISNUMBER(Vic!K49),Vic!K49*1000000/AY$7,"")</f>
        <v>5.3631902593463474</v>
      </c>
      <c r="AZ55" s="653">
        <f>IF(ISNUMBER(Vic!L49),Vic!L49*1000000/AZ$7,"")</f>
        <v>6.1372451679423046</v>
      </c>
      <c r="BA55" s="647">
        <f>IF(ISNUMBER(WA!L49),WA!L49*1000000/BA$7,"")</f>
        <v>0.27381902831014931</v>
      </c>
      <c r="BB55" s="655">
        <f>IF(ISNUMBER(WA!M49),WA!M49*1000000/BB$7,"")</f>
        <v>23.806832066243746</v>
      </c>
      <c r="BD55" s="647">
        <v>0</v>
      </c>
      <c r="BE55" s="654">
        <v>1158.369847007232</v>
      </c>
      <c r="BF55" s="654">
        <v>77.83842867846127</v>
      </c>
      <c r="BG55" s="654">
        <v>38.078099894258401</v>
      </c>
      <c r="BH55" s="654">
        <v>11124.328552958847</v>
      </c>
      <c r="BI55" s="654">
        <v>568.75730424620178</v>
      </c>
      <c r="BJ55" s="654">
        <v>22.939455677480453</v>
      </c>
      <c r="BK55" s="653">
        <v>4.7580344724971591</v>
      </c>
      <c r="BM55" s="647">
        <f t="shared" si="8"/>
        <v>0</v>
      </c>
      <c r="BN55" s="654">
        <f t="shared" si="9"/>
        <v>273.72272816597922</v>
      </c>
      <c r="BO55" s="654" t="str">
        <f t="shared" si="10"/>
        <v/>
      </c>
      <c r="BP55" s="654">
        <f t="shared" si="11"/>
        <v>18.970494788063295</v>
      </c>
      <c r="BQ55" s="654">
        <f t="shared" si="12"/>
        <v>715.81228276489776</v>
      </c>
      <c r="BR55" s="654" t="str">
        <f t="shared" si="13"/>
        <v/>
      </c>
      <c r="BS55" s="654">
        <f t="shared" si="14"/>
        <v>5.7518207465606555</v>
      </c>
      <c r="BT55" s="653">
        <f t="shared" si="15"/>
        <v>12.080635547580501</v>
      </c>
    </row>
    <row r="56" spans="2:72">
      <c r="B56" s="1033" t="s">
        <v>50</v>
      </c>
      <c r="C56" s="1036" t="s">
        <v>159</v>
      </c>
      <c r="D56" s="639" t="s">
        <v>51</v>
      </c>
      <c r="E56" s="640" t="s">
        <v>113</v>
      </c>
      <c r="F56" s="641">
        <f>IF(ISNUMBER(ACT!K50),ACT!K50,"")</f>
        <v>0</v>
      </c>
      <c r="G56" s="529" t="s">
        <v>757</v>
      </c>
      <c r="H56" s="642">
        <f>IF(ISNUMBER(ACT!L50),ACT!L50,"")</f>
        <v>0</v>
      </c>
      <c r="I56" s="530" t="s">
        <v>757</v>
      </c>
      <c r="J56" s="642" t="str">
        <f>IF(ISNUMBER(NSW!K50),NSW!K50,"")</f>
        <v/>
      </c>
      <c r="K56" s="543"/>
      <c r="L56" s="642" t="str">
        <f>IF(ISNUMBER(NSW!L50),NSW!L50,"")</f>
        <v/>
      </c>
      <c r="M56" s="543"/>
      <c r="N56" s="641" t="str">
        <f>IF(ISNUMBER(NT!K50),NT!K50,"")</f>
        <v/>
      </c>
      <c r="O56" s="543"/>
      <c r="P56" s="642" t="str">
        <f>IF(ISNUMBER(NT!L50),NT!L50,"")</f>
        <v/>
      </c>
      <c r="Q56" s="543"/>
      <c r="R56" s="641">
        <f>IF(ISNUMBER(Qld!K50),Qld!K50,"")</f>
        <v>59706.997999999956</v>
      </c>
      <c r="S56" s="529" t="s">
        <v>757</v>
      </c>
      <c r="T56" s="642">
        <f>IF(ISNUMBER(Qld!L50),Qld!L50,"")</f>
        <v>49836.941002000065</v>
      </c>
      <c r="U56" s="530" t="s">
        <v>757</v>
      </c>
      <c r="V56" s="641"/>
      <c r="W56" s="543"/>
      <c r="X56" s="642"/>
      <c r="Y56" s="543"/>
      <c r="Z56" s="641" t="str">
        <f>IF(ISNUMBER(TAS!K50),TAS!K50,"")</f>
        <v/>
      </c>
      <c r="AA56" s="543"/>
      <c r="AB56" s="642" t="str">
        <f>IF(ISNUMBER(TAS!L50),TAS!L50,"")</f>
        <v/>
      </c>
      <c r="AC56" s="543"/>
      <c r="AD56" s="641">
        <f>IF(ISNUMBER(Vic!K50),Vic!K50,"")</f>
        <v>17040.440000000013</v>
      </c>
      <c r="AE56" s="541" t="s">
        <v>757</v>
      </c>
      <c r="AF56" s="642">
        <f>IF(ISNUMBER(Vic!L50),Vic!L50,"")</f>
        <v>18107.495999999985</v>
      </c>
      <c r="AG56" s="542" t="s">
        <v>757</v>
      </c>
      <c r="AH56" s="641">
        <f>IF(ISNUMBER(WA!L50),WA!L50,"")</f>
        <v>9261.1280000000006</v>
      </c>
      <c r="AI56" s="529" t="s">
        <v>757</v>
      </c>
      <c r="AJ56" s="642">
        <f>IF(ISNUMBER(WA!M50),WA!M50,"")</f>
        <v>25053.004999999997</v>
      </c>
      <c r="AK56" s="530" t="s">
        <v>757</v>
      </c>
      <c r="AL56" s="652"/>
      <c r="AM56" s="644">
        <f>IF(ISNUMBER(ACT!K50),ACT!K50*1000000/AM$7,"")</f>
        <v>0</v>
      </c>
      <c r="AN56" s="645">
        <f>IF(ISNUMBER(ACT!L50),ACT!L50*1000000/AN$7,"")</f>
        <v>0</v>
      </c>
      <c r="AO56" s="646" t="str">
        <f>IF(ISNUMBER(NSW!K50),NSW!K50*1000000/AO$7,"")</f>
        <v/>
      </c>
      <c r="AP56" s="646" t="str">
        <f>IF(ISNUMBER(NSW!L50),NSW!L50*1000000/AP$7,"")</f>
        <v/>
      </c>
      <c r="AQ56" s="644" t="str">
        <f>IF(ISNUMBER(NT!K50),NT!K50*1000000/AQ$7,"")</f>
        <v/>
      </c>
      <c r="AR56" s="645" t="str">
        <f>IF(ISNUMBER(NT!L50),NT!L50*1000000/AR$7,"")</f>
        <v/>
      </c>
      <c r="AS56" s="646">
        <f>IF(ISNUMBER(Qld!K50),Qld!K50*1000000/AS$7,"")</f>
        <v>12685.737802722282</v>
      </c>
      <c r="AT56" s="646">
        <f>IF(ISNUMBER(Qld!L50),Qld!L50*1000000/AT$7,"")</f>
        <v>10516.125962815293</v>
      </c>
      <c r="AU56" s="644"/>
      <c r="AV56" s="645">
        <f>IF(ISNUMBER(SA!L50),SA!L50*1000000/AV$7,"")</f>
        <v>352.28458501768944</v>
      </c>
      <c r="AW56" s="646" t="str">
        <f>IF(ISNUMBER(TAS!K50),TAS!K50*1000000/AW$7,"")</f>
        <v/>
      </c>
      <c r="AX56" s="646" t="str">
        <f>IF(ISNUMBER(TAS!L50),TAS!L50*1000000/AX$7,"")</f>
        <v/>
      </c>
      <c r="AY56" s="644">
        <f>IF(ISNUMBER(Vic!K50),Vic!K50*1000000/AY$7,"")</f>
        <v>2929.2026225312802</v>
      </c>
      <c r="AZ56" s="645">
        <f>IF(ISNUMBER(Vic!L50),Vic!L50*1000000/AZ$7,"")</f>
        <v>3086.9483980426253</v>
      </c>
      <c r="BA56" s="644">
        <f>IF(ISNUMBER(WA!L50),WA!L50*1000000/BA$7,"")</f>
        <v>3622.6758143084526</v>
      </c>
      <c r="BB56" s="645">
        <f>IF(ISNUMBER(WA!M50),WA!M50*1000000/BB$7,"")</f>
        <v>9733.0681438953779</v>
      </c>
      <c r="BD56" s="644">
        <v>0</v>
      </c>
      <c r="BE56" s="646" t="s">
        <v>855</v>
      </c>
      <c r="BF56" s="646" t="s">
        <v>855</v>
      </c>
      <c r="BG56" s="646">
        <v>26114.303182537638</v>
      </c>
      <c r="BH56" s="646" t="s">
        <v>855</v>
      </c>
      <c r="BI56" s="646" t="s">
        <v>855</v>
      </c>
      <c r="BJ56" s="646">
        <v>7051.1697549209057</v>
      </c>
      <c r="BK56" s="645">
        <v>7037.043400501082</v>
      </c>
      <c r="BM56" s="644">
        <f t="shared" si="8"/>
        <v>0</v>
      </c>
      <c r="BN56" s="646" t="str">
        <f t="shared" si="9"/>
        <v/>
      </c>
      <c r="BO56" s="646" t="str">
        <f t="shared" si="10"/>
        <v/>
      </c>
      <c r="BP56" s="646">
        <f t="shared" si="11"/>
        <v>11597.202479514272</v>
      </c>
      <c r="BQ56" s="646">
        <f t="shared" si="12"/>
        <v>176.47589335618073</v>
      </c>
      <c r="BR56" s="646" t="str">
        <f t="shared" si="13"/>
        <v/>
      </c>
      <c r="BS56" s="646">
        <f t="shared" si="14"/>
        <v>3008.4021946962221</v>
      </c>
      <c r="BT56" s="645">
        <f t="shared" si="15"/>
        <v>6688.3385486084817</v>
      </c>
    </row>
    <row r="57" spans="2:72">
      <c r="B57" s="1034"/>
      <c r="C57" s="1038"/>
      <c r="D57" s="648" t="s">
        <v>115</v>
      </c>
      <c r="E57" s="649" t="s">
        <v>114</v>
      </c>
      <c r="F57" s="650">
        <f>IF(ISNUMBER(ACT!K51),ACT!K51,"")</f>
        <v>2648</v>
      </c>
      <c r="G57" s="532" t="s">
        <v>757</v>
      </c>
      <c r="H57" s="651">
        <f>IF(ISNUMBER(ACT!L51),ACT!L51,"")</f>
        <v>2305</v>
      </c>
      <c r="I57" s="534" t="s">
        <v>757</v>
      </c>
      <c r="J57" s="651" t="str">
        <f>IF(ISNUMBER(NSW!K51),NSW!K51,"")</f>
        <v/>
      </c>
      <c r="K57" s="531"/>
      <c r="L57" s="651" t="str">
        <f>IF(ISNUMBER(NSW!L51),NSW!L51,"")</f>
        <v/>
      </c>
      <c r="M57" s="531"/>
      <c r="N57" s="650"/>
      <c r="O57" s="531"/>
      <c r="P57" s="651"/>
      <c r="Q57" s="531"/>
      <c r="R57" s="650">
        <f>IF(ISNUMBER(Qld!K51),Qld!K51,"")</f>
        <v>77720.537000003445</v>
      </c>
      <c r="S57" s="532" t="s">
        <v>757</v>
      </c>
      <c r="T57" s="651">
        <f>IF(ISNUMBER(Qld!L51),Qld!L51,"")</f>
        <v>81941.58600100792</v>
      </c>
      <c r="U57" s="534" t="s">
        <v>757</v>
      </c>
      <c r="V57" s="650"/>
      <c r="W57" s="531"/>
      <c r="X57" s="651"/>
      <c r="Y57" s="531"/>
      <c r="Z57" s="650" t="str">
        <f>IF(ISNUMBER(TAS!K51),TAS!K51,"")</f>
        <v/>
      </c>
      <c r="AA57" s="531"/>
      <c r="AB57" s="651" t="str">
        <f>IF(ISNUMBER(TAS!L51),TAS!L51,"")</f>
        <v/>
      </c>
      <c r="AC57" s="531"/>
      <c r="AD57" s="650">
        <f>IF(ISNUMBER(Vic!K51),Vic!K51,"")</f>
        <v>55914.716999999866</v>
      </c>
      <c r="AE57" s="539" t="s">
        <v>757</v>
      </c>
      <c r="AF57" s="651">
        <f>IF(ISNUMBER(Vic!L51),Vic!L51,"")</f>
        <v>56916.530999999617</v>
      </c>
      <c r="AG57" s="540" t="s">
        <v>757</v>
      </c>
      <c r="AH57" s="650">
        <f>IF(ISNUMBER(WA!L51),WA!L51,"")</f>
        <v>36948.535439999992</v>
      </c>
      <c r="AI57" s="532" t="s">
        <v>757</v>
      </c>
      <c r="AJ57" s="651">
        <f>IF(ISNUMBER(WA!M51),WA!M51,"")</f>
        <v>43229.336000000003</v>
      </c>
      <c r="AK57" s="534" t="s">
        <v>757</v>
      </c>
      <c r="AL57" s="652"/>
      <c r="AM57" s="647">
        <f>IF(ISNUMBER(ACT!K51),ACT!K51*1000000/AM$7,"")</f>
        <v>6878.9583885364545</v>
      </c>
      <c r="AN57" s="653">
        <f>IF(ISNUMBER(ACT!L51),ACT!L51*1000000/AN$7,"")</f>
        <v>5961.6180426236297</v>
      </c>
      <c r="AO57" s="654" t="str">
        <f>IF(ISNUMBER(NSW!K51),NSW!K51*1000000/AO$7,"")</f>
        <v/>
      </c>
      <c r="AP57" s="654" t="str">
        <f>IF(ISNUMBER(NSW!L51),NSW!L51*1000000/AP$7,"")</f>
        <v/>
      </c>
      <c r="AQ57" s="647">
        <f>IF(ISNUMBER(NT!K51),NT!K51*1000000/AQ$7,"")</f>
        <v>3.363481613650813</v>
      </c>
      <c r="AR57" s="653">
        <f>IF(ISNUMBER(NT!L51),NT!L51*1000000/AR$7,"")</f>
        <v>6.696556173489804</v>
      </c>
      <c r="AS57" s="654">
        <f>IF(ISNUMBER(Qld!K51),Qld!K51*1000000/AS$7,"")</f>
        <v>16513.011661862824</v>
      </c>
      <c r="AT57" s="654">
        <f>IF(ISNUMBER(Qld!L51),Qld!L51*1000000/AT$7,"")</f>
        <v>17290.548389494437</v>
      </c>
      <c r="AU57" s="647"/>
      <c r="AV57" s="653">
        <f>IF(ISNUMBER(SA!L51),SA!L51*1000000/AV$7,"")</f>
        <v>2.0727499706853934</v>
      </c>
      <c r="AW57" s="654" t="str">
        <f>IF(ISNUMBER(TAS!K51),TAS!K51*1000000/AW$7,"")</f>
        <v/>
      </c>
      <c r="AX57" s="654" t="str">
        <f>IF(ISNUMBER(TAS!L51),TAS!L51*1000000/AX$7,"")</f>
        <v/>
      </c>
      <c r="AY57" s="647">
        <f>IF(ISNUMBER(Vic!K51),Vic!K51*1000000/AY$7,"")</f>
        <v>9611.5790246316301</v>
      </c>
      <c r="AZ57" s="653">
        <f>IF(ISNUMBER(Vic!L51),Vic!L51*1000000/AZ$7,"")</f>
        <v>9703.0751348829453</v>
      </c>
      <c r="BA57" s="647">
        <f>IF(ISNUMBER(WA!L51),WA!L51*1000000/BA$7,"")</f>
        <v>14453.16010237702</v>
      </c>
      <c r="BB57" s="655">
        <f>IF(ISNUMBER(WA!M51),WA!M51*1000000/BB$7,"")</f>
        <v>16794.555108393171</v>
      </c>
      <c r="BD57" s="647">
        <v>13177.827482995814</v>
      </c>
      <c r="BE57" s="654" t="s">
        <v>855</v>
      </c>
      <c r="BF57" s="654" t="s">
        <v>855</v>
      </c>
      <c r="BG57" s="654">
        <v>27283.814261874217</v>
      </c>
      <c r="BH57" s="654" t="s">
        <v>855</v>
      </c>
      <c r="BI57" s="654" t="s">
        <v>855</v>
      </c>
      <c r="BJ57" s="654">
        <v>17235.136318663492</v>
      </c>
      <c r="BK57" s="653">
        <v>24634.455956010584</v>
      </c>
      <c r="BM57" s="647">
        <f t="shared" si="8"/>
        <v>6419.2788323211271</v>
      </c>
      <c r="BN57" s="654" t="str">
        <f t="shared" si="9"/>
        <v/>
      </c>
      <c r="BO57" s="654">
        <f t="shared" si="10"/>
        <v>5.0337939459419641</v>
      </c>
      <c r="BP57" s="654">
        <f t="shared" si="11"/>
        <v>16903.116554153075</v>
      </c>
      <c r="BQ57" s="654">
        <f t="shared" si="12"/>
        <v>1.0383378051081473</v>
      </c>
      <c r="BR57" s="654" t="str">
        <f t="shared" si="13"/>
        <v/>
      </c>
      <c r="BS57" s="654">
        <f t="shared" si="14"/>
        <v>9657.516564088206</v>
      </c>
      <c r="BT57" s="653">
        <f t="shared" si="15"/>
        <v>15627.86821096506</v>
      </c>
    </row>
    <row r="58" spans="2:72">
      <c r="B58" s="1034"/>
      <c r="C58" s="1038"/>
      <c r="D58" s="648" t="s">
        <v>52</v>
      </c>
      <c r="E58" s="649" t="s">
        <v>116</v>
      </c>
      <c r="F58" s="650">
        <f>IF(ISNUMBER(ACT!K52),ACT!K52,"")</f>
        <v>0</v>
      </c>
      <c r="G58" s="532" t="s">
        <v>757</v>
      </c>
      <c r="H58" s="651">
        <f>IF(ISNUMBER(ACT!L52),ACT!L52,"")</f>
        <v>0</v>
      </c>
      <c r="I58" s="534" t="s">
        <v>757</v>
      </c>
      <c r="J58" s="651" t="str">
        <f>IF(ISNUMBER(NSW!K52),NSW!K52,"")</f>
        <v/>
      </c>
      <c r="K58" s="531"/>
      <c r="L58" s="651" t="str">
        <f>IF(ISNUMBER(NSW!L52),NSW!L52,"")</f>
        <v/>
      </c>
      <c r="M58" s="531"/>
      <c r="N58" s="650" t="str">
        <f>IF(ISNUMBER(NT!K52),NT!K52,"")</f>
        <v/>
      </c>
      <c r="O58" s="532" t="s">
        <v>757</v>
      </c>
      <c r="P58" s="651" t="str">
        <f>IF(ISNUMBER(NT!L52),NT!L52,"")</f>
        <v/>
      </c>
      <c r="Q58" s="534" t="s">
        <v>757</v>
      </c>
      <c r="R58" s="650">
        <f>IF(ISNUMBER(Qld!K52),Qld!K52,"")</f>
        <v>3325.5360000000001</v>
      </c>
      <c r="S58" s="532" t="s">
        <v>757</v>
      </c>
      <c r="T58" s="651">
        <f>IF(ISNUMBER(Qld!L52),Qld!L52,"")</f>
        <v>2821.9300009999988</v>
      </c>
      <c r="U58" s="534" t="s">
        <v>757</v>
      </c>
      <c r="V58" s="650" t="str">
        <f>IF(ISNUMBER(SA!K52),SA!K52,"")</f>
        <v/>
      </c>
      <c r="W58" s="531"/>
      <c r="X58" s="651" t="str">
        <f>IF(ISNUMBER(SA!L52),SA!L52,"")</f>
        <v/>
      </c>
      <c r="Y58" s="531"/>
      <c r="Z58" s="650" t="str">
        <f>IF(ISNUMBER(TAS!K52),TAS!K52,"")</f>
        <v/>
      </c>
      <c r="AA58" s="532" t="s">
        <v>757</v>
      </c>
      <c r="AB58" s="651" t="str">
        <f>IF(ISNUMBER(TAS!L52),TAS!L52,"")</f>
        <v/>
      </c>
      <c r="AC58" s="534" t="s">
        <v>757</v>
      </c>
      <c r="AD58" s="650">
        <f>IF(ISNUMBER(Vic!K52),Vic!K52,"")</f>
        <v>599.49</v>
      </c>
      <c r="AE58" s="539" t="s">
        <v>757</v>
      </c>
      <c r="AF58" s="651">
        <f>IF(ISNUMBER(Vic!L52),Vic!L52,"")</f>
        <v>418.78999999999996</v>
      </c>
      <c r="AG58" s="540" t="s">
        <v>757</v>
      </c>
      <c r="AH58" s="650" t="str">
        <f>IF(ISNUMBER(WA!L52),WA!L52,"")</f>
        <v/>
      </c>
      <c r="AI58" s="532" t="s">
        <v>757</v>
      </c>
      <c r="AJ58" s="651">
        <f>IF(ISNUMBER(WA!M52),WA!M52,"")</f>
        <v>16.3</v>
      </c>
      <c r="AK58" s="534" t="s">
        <v>757</v>
      </c>
      <c r="AL58" s="652"/>
      <c r="AM58" s="647">
        <f>IF(ISNUMBER(ACT!K52),ACT!K52*1000000/AM$7,"")</f>
        <v>0</v>
      </c>
      <c r="AN58" s="653">
        <f>IF(ISNUMBER(ACT!L52),ACT!L52*1000000/AN$7,"")</f>
        <v>0</v>
      </c>
      <c r="AO58" s="654" t="str">
        <f>IF(ISNUMBER(NSW!K52),NSW!K52*1000000/AO$7,"")</f>
        <v/>
      </c>
      <c r="AP58" s="654" t="str">
        <f>IF(ISNUMBER(NSW!L52),NSW!L52*1000000/AP$7,"")</f>
        <v/>
      </c>
      <c r="AQ58" s="647" t="str">
        <f>IF(ISNUMBER(NT!K52),NT!K52*1000000/AQ$7,"")</f>
        <v/>
      </c>
      <c r="AR58" s="653" t="str">
        <f>IF(ISNUMBER(NT!L52),NT!L52*1000000/AR$7,"")</f>
        <v/>
      </c>
      <c r="AS58" s="654">
        <f>IF(ISNUMBER(Qld!K52),Qld!K52*1000000/AS$7,"")</f>
        <v>706.565045348853</v>
      </c>
      <c r="AT58" s="654">
        <f>IF(ISNUMBER(Qld!L52),Qld!L52*1000000/AT$7,"")</f>
        <v>595.45732045577438</v>
      </c>
      <c r="AU58" s="647" t="str">
        <f>IF(ISNUMBER(SA!K52),SA!K52*1000000/AU$7,"")</f>
        <v/>
      </c>
      <c r="AV58" s="653" t="str">
        <f>IF(ISNUMBER(SA!L52),SA!L52*1000000/AV$7,"")</f>
        <v/>
      </c>
      <c r="AW58" s="654" t="str">
        <f>IF(ISNUMBER(TAS!K52),TAS!K52*1000000/AW$7,"")</f>
        <v/>
      </c>
      <c r="AX58" s="654" t="str">
        <f>IF(ISNUMBER(TAS!L52),TAS!L52*1000000/AX$7,"")</f>
        <v/>
      </c>
      <c r="AY58" s="647">
        <f>IF(ISNUMBER(Vic!K52),Vic!K52*1000000/AY$7,"")</f>
        <v>103.05060668511352</v>
      </c>
      <c r="AZ58" s="653">
        <f>IF(ISNUMBER(Vic!L52),Vic!L52*1000000/AZ$7,"")</f>
        <v>71.394913996737699</v>
      </c>
      <c r="BA58" s="647" t="str">
        <f>IF(ISNUMBER(WA!L52),WA!L52*1000000/BA$7,"")</f>
        <v/>
      </c>
      <c r="BB58" s="655">
        <f>IF(ISNUMBER(WA!M52),WA!M52*1000000/BB$7,"")</f>
        <v>6.332534190828393</v>
      </c>
      <c r="BD58" s="647">
        <v>0</v>
      </c>
      <c r="BE58" s="654" t="s">
        <v>855</v>
      </c>
      <c r="BF58" s="654">
        <v>0</v>
      </c>
      <c r="BG58" s="654">
        <v>1316.689353085171</v>
      </c>
      <c r="BH58" s="654">
        <v>0</v>
      </c>
      <c r="BI58" s="654" t="s">
        <v>855</v>
      </c>
      <c r="BJ58" s="654">
        <v>67.169309890640307</v>
      </c>
      <c r="BK58" s="653">
        <v>0</v>
      </c>
      <c r="BM58" s="647">
        <f t="shared" si="8"/>
        <v>0</v>
      </c>
      <c r="BN58" s="654" t="str">
        <f t="shared" si="9"/>
        <v/>
      </c>
      <c r="BO58" s="654" t="str">
        <f t="shared" si="10"/>
        <v/>
      </c>
      <c r="BP58" s="654">
        <f t="shared" si="11"/>
        <v>650.82019689126946</v>
      </c>
      <c r="BQ58" s="654" t="str">
        <f t="shared" si="12"/>
        <v/>
      </c>
      <c r="BR58" s="654" t="str">
        <f t="shared" si="13"/>
        <v/>
      </c>
      <c r="BS58" s="654">
        <f t="shared" si="14"/>
        <v>87.157202824520596</v>
      </c>
      <c r="BT58" s="653">
        <f t="shared" si="15"/>
        <v>3.1771141745681954</v>
      </c>
    </row>
    <row r="59" spans="2:72">
      <c r="B59" s="1035"/>
      <c r="C59" s="1037"/>
      <c r="D59" s="667" t="s">
        <v>118</v>
      </c>
      <c r="E59" s="668" t="s">
        <v>117</v>
      </c>
      <c r="F59" s="656">
        <f>IF(ISNUMBER(ACT!K53),ACT!K53,"")</f>
        <v>0</v>
      </c>
      <c r="G59" s="535" t="s">
        <v>757</v>
      </c>
      <c r="H59" s="657">
        <f>IF(ISNUMBER(ACT!L53),ACT!L53,"")</f>
        <v>0</v>
      </c>
      <c r="I59" s="536" t="s">
        <v>757</v>
      </c>
      <c r="J59" s="657" t="str">
        <f>IF(ISNUMBER(NSW!K53),NSW!K53,"")</f>
        <v/>
      </c>
      <c r="K59" s="531"/>
      <c r="L59" s="657" t="str">
        <f>IF(ISNUMBER(NSW!L53),NSW!L53,"")</f>
        <v/>
      </c>
      <c r="M59" s="531"/>
      <c r="N59" s="656" t="str">
        <f>IF(ISNUMBER(NT!K53),NT!K53,"")</f>
        <v/>
      </c>
      <c r="O59" s="535" t="s">
        <v>757</v>
      </c>
      <c r="P59" s="657" t="str">
        <f>IF(ISNUMBER(NT!L53),NT!L53,"")</f>
        <v/>
      </c>
      <c r="Q59" s="536" t="s">
        <v>757</v>
      </c>
      <c r="R59" s="656">
        <f>IF(ISNUMBER(Qld!K53),Qld!K53,"")</f>
        <v>0</v>
      </c>
      <c r="S59" s="535" t="s">
        <v>757</v>
      </c>
      <c r="T59" s="657">
        <f>IF(ISNUMBER(Qld!L53),Qld!L53,"")</f>
        <v>0.10000100000000001</v>
      </c>
      <c r="U59" s="536" t="s">
        <v>757</v>
      </c>
      <c r="V59" s="656" t="str">
        <f>IF(ISNUMBER(SA!K53),SA!K53,"")</f>
        <v/>
      </c>
      <c r="W59" s="531"/>
      <c r="X59" s="657" t="str">
        <f>IF(ISNUMBER(SA!L53),SA!L53,"")</f>
        <v/>
      </c>
      <c r="Y59" s="531"/>
      <c r="Z59" s="656" t="str">
        <f>IF(ISNUMBER(TAS!K53),TAS!K53,"")</f>
        <v/>
      </c>
      <c r="AA59" s="535" t="s">
        <v>757</v>
      </c>
      <c r="AB59" s="657" t="str">
        <f>IF(ISNUMBER(TAS!L53),TAS!L53,"")</f>
        <v/>
      </c>
      <c r="AC59" s="536" t="s">
        <v>757</v>
      </c>
      <c r="AD59" s="656">
        <f>IF(ISNUMBER(Vic!K53),Vic!K53,"")</f>
        <v>599.49</v>
      </c>
      <c r="AE59" s="537" t="s">
        <v>757</v>
      </c>
      <c r="AF59" s="657">
        <f>IF(ISNUMBER(Vic!L53),Vic!L53,"")</f>
        <v>418.78999999999996</v>
      </c>
      <c r="AG59" s="538" t="s">
        <v>757</v>
      </c>
      <c r="AH59" s="656" t="str">
        <f>IF(ISNUMBER(WA!L53),WA!L53,"")</f>
        <v/>
      </c>
      <c r="AI59" s="535" t="s">
        <v>757</v>
      </c>
      <c r="AJ59" s="657" t="str">
        <f>IF(ISNUMBER(WA!M53),WA!M53,"")</f>
        <v/>
      </c>
      <c r="AK59" s="536" t="s">
        <v>757</v>
      </c>
      <c r="AL59" s="652"/>
      <c r="AM59" s="669">
        <f>IF(ISNUMBER(ACT!K53),ACT!K53*1000000/AM$7,"")</f>
        <v>0</v>
      </c>
      <c r="AN59" s="670">
        <f>IF(ISNUMBER(ACT!L53),ACT!L53*1000000/AN$7,"")</f>
        <v>0</v>
      </c>
      <c r="AO59" s="671" t="str">
        <f>IF(ISNUMBER(NSW!K53),NSW!K53*1000000/AO$7,"")</f>
        <v/>
      </c>
      <c r="AP59" s="671" t="str">
        <f>IF(ISNUMBER(NSW!L53),NSW!L53*1000000/AP$7,"")</f>
        <v/>
      </c>
      <c r="AQ59" s="669" t="str">
        <f>IF(ISNUMBER(NT!K53),NT!K53*1000000/AQ$7,"")</f>
        <v/>
      </c>
      <c r="AR59" s="670" t="str">
        <f>IF(ISNUMBER(NT!L53),NT!L53*1000000/AR$7,"")</f>
        <v/>
      </c>
      <c r="AS59" s="654">
        <f>IF(ISNUMBER(Qld!K53),Qld!K53*1000000/AS$7,"")</f>
        <v>0</v>
      </c>
      <c r="AT59" s="654">
        <f>IF(ISNUMBER(Qld!L53),Qld!L53*1000000/AT$7,"")</f>
        <v>2.110127731084635E-2</v>
      </c>
      <c r="AU59" s="669" t="str">
        <f>IF(ISNUMBER(SA!K53),SA!K53*1000000/AU$7,"")</f>
        <v/>
      </c>
      <c r="AV59" s="653" t="str">
        <f>IF(ISNUMBER(SA!L53),SA!L53*1000000/AV$7,"")</f>
        <v/>
      </c>
      <c r="AW59" s="671" t="str">
        <f>IF(ISNUMBER(TAS!K53),TAS!K53*1000000/AW$7,"")</f>
        <v/>
      </c>
      <c r="AX59" s="671" t="str">
        <f>IF(ISNUMBER(TAS!L53),TAS!L53*1000000/AX$7,"")</f>
        <v/>
      </c>
      <c r="AY59" s="669">
        <f>IF(ISNUMBER(Vic!K53),Vic!K53*1000000/AY$7,"")</f>
        <v>103.05060668511352</v>
      </c>
      <c r="AZ59" s="670">
        <f>IF(ISNUMBER(Vic!L53),Vic!L53*1000000/AZ$7,"")</f>
        <v>71.394913996737699</v>
      </c>
      <c r="BA59" s="669" t="str">
        <f>IF(ISNUMBER(WA!L53),WA!L53*1000000/BA$7,"")</f>
        <v/>
      </c>
      <c r="BB59" s="672" t="str">
        <f>IF(ISNUMBER(WA!M53),WA!M53*1000000/BB$7,"")</f>
        <v/>
      </c>
      <c r="BD59" s="669">
        <v>0</v>
      </c>
      <c r="BE59" s="671" t="s">
        <v>855</v>
      </c>
      <c r="BF59" s="671">
        <v>0</v>
      </c>
      <c r="BG59" s="671">
        <v>0</v>
      </c>
      <c r="BH59" s="671">
        <v>0</v>
      </c>
      <c r="BI59" s="671" t="s">
        <v>855</v>
      </c>
      <c r="BJ59" s="671">
        <v>67.169309890640307</v>
      </c>
      <c r="BK59" s="670">
        <v>0</v>
      </c>
      <c r="BM59" s="669">
        <f t="shared" si="8"/>
        <v>0</v>
      </c>
      <c r="BN59" s="671" t="str">
        <f t="shared" si="9"/>
        <v/>
      </c>
      <c r="BO59" s="671" t="str">
        <f t="shared" si="10"/>
        <v/>
      </c>
      <c r="BP59" s="671">
        <f t="shared" si="11"/>
        <v>1.058691019986722E-2</v>
      </c>
      <c r="BQ59" s="671" t="str">
        <f t="shared" si="12"/>
        <v/>
      </c>
      <c r="BR59" s="671" t="str">
        <f t="shared" si="13"/>
        <v/>
      </c>
      <c r="BS59" s="671">
        <f t="shared" si="14"/>
        <v>87.157202824520596</v>
      </c>
      <c r="BT59" s="670" t="str">
        <f t="shared" si="15"/>
        <v/>
      </c>
    </row>
    <row r="60" spans="2:72">
      <c r="B60" s="1033" t="s">
        <v>53</v>
      </c>
      <c r="C60" s="1036" t="s">
        <v>54</v>
      </c>
      <c r="D60" s="639" t="s">
        <v>55</v>
      </c>
      <c r="E60" s="640" t="s">
        <v>160</v>
      </c>
      <c r="F60" s="641">
        <f>IF(ISNUMBER(ACT!K54),ACT!K54,"")</f>
        <v>6.26</v>
      </c>
      <c r="G60" s="529" t="s">
        <v>757</v>
      </c>
      <c r="H60" s="642">
        <f>IF(ISNUMBER(ACT!L54),ACT!L54,"")</f>
        <v>19.062999999999999</v>
      </c>
      <c r="I60" s="530" t="s">
        <v>757</v>
      </c>
      <c r="J60" s="642">
        <f>IF(ISNUMBER(NSW!K54),NSW!K54,"")</f>
        <v>1446.5575000000008</v>
      </c>
      <c r="K60" s="529" t="s">
        <v>757</v>
      </c>
      <c r="L60" s="642">
        <f>IF(ISNUMBER(NSW!L54),NSW!L54,"")</f>
        <v>1288.1083200000003</v>
      </c>
      <c r="M60" s="530" t="s">
        <v>757</v>
      </c>
      <c r="N60" s="641">
        <f>IF(ISNUMBER(NT!K54),NT!K54,"")</f>
        <v>4</v>
      </c>
      <c r="O60" s="529" t="s">
        <v>757</v>
      </c>
      <c r="P60" s="642">
        <f>IF(ISNUMBER(NT!L54),NT!L54,"")</f>
        <v>2.64</v>
      </c>
      <c r="Q60" s="530" t="s">
        <v>757</v>
      </c>
      <c r="R60" s="641">
        <f>IF(ISNUMBER(Qld!K54),Qld!K54,"")</f>
        <v>1017.992</v>
      </c>
      <c r="S60" s="529" t="s">
        <v>757</v>
      </c>
      <c r="T60" s="642">
        <f>IF(ISNUMBER(Qld!L54),Qld!L54,"")</f>
        <v>1311.9690010000011</v>
      </c>
      <c r="U60" s="530" t="s">
        <v>757</v>
      </c>
      <c r="V60" s="641">
        <f>IF(ISNUMBER(SA!K54),SA!K54,"")</f>
        <v>16.16</v>
      </c>
      <c r="W60" s="529" t="s">
        <v>757</v>
      </c>
      <c r="X60" s="642">
        <f>IF(ISNUMBER(SA!L54),SA!L54,"")</f>
        <v>29.92</v>
      </c>
      <c r="Y60" s="530" t="s">
        <v>757</v>
      </c>
      <c r="Z60" s="641">
        <f>IF(ISNUMBER(TAS!K54),TAS!K54,"")</f>
        <v>5.0420400000000001</v>
      </c>
      <c r="AA60" s="529" t="s">
        <v>757</v>
      </c>
      <c r="AB60" s="642">
        <f>IF(ISNUMBER(TAS!L54),TAS!L54,"")</f>
        <v>28.04</v>
      </c>
      <c r="AC60" s="530" t="s">
        <v>757</v>
      </c>
      <c r="AD60" s="641">
        <f>IF(ISNUMBER(Vic!K54),Vic!K54,"")</f>
        <v>210.64</v>
      </c>
      <c r="AE60" s="541" t="s">
        <v>757</v>
      </c>
      <c r="AF60" s="642">
        <f>IF(ISNUMBER(Vic!L54),Vic!L54,"")</f>
        <v>17399.349999999999</v>
      </c>
      <c r="AG60" s="542" t="s">
        <v>757</v>
      </c>
      <c r="AH60" s="641" t="str">
        <f>IF(ISNUMBER(WA!L54),WA!L54,"")</f>
        <v/>
      </c>
      <c r="AI60" s="529" t="s">
        <v>757</v>
      </c>
      <c r="AJ60" s="642">
        <f>IF(ISNUMBER(WA!M54),WA!M54,"")</f>
        <v>23.697500000000002</v>
      </c>
      <c r="AK60" s="530" t="s">
        <v>757</v>
      </c>
      <c r="AL60" s="652"/>
      <c r="AM60" s="644">
        <f>IF(ISNUMBER(ACT!K54),ACT!K54*1000000/AM$7,"")</f>
        <v>16.262190148126212</v>
      </c>
      <c r="AN60" s="645">
        <f>IF(ISNUMBER(ACT!L54),ACT!L54*1000000/AN$7,"")</f>
        <v>49.304262362921584</v>
      </c>
      <c r="AO60" s="646">
        <f>IF(ISNUMBER(NSW!K54),NSW!K54*1000000/AO$7,"")</f>
        <v>192.931672626438</v>
      </c>
      <c r="AP60" s="646">
        <f>IF(ISNUMBER(NSW!L54),NSW!L54*1000000/AP$7,"")</f>
        <v>170.7391628519791</v>
      </c>
      <c r="AQ60" s="644">
        <f>IF(ISNUMBER(NT!K54),NT!K54*1000000/AQ$7,"")</f>
        <v>16.407227383662505</v>
      </c>
      <c r="AR60" s="645">
        <f>IF(ISNUMBER(NT!L54),NT!L54*1000000/AR$7,"")</f>
        <v>10.779822132934807</v>
      </c>
      <c r="AS60" s="644">
        <f>IF(ISNUMBER(Qld!K54),Qld!K54*1000000/AS$7,"")</f>
        <v>216.28921282005956</v>
      </c>
      <c r="AT60" s="645">
        <f>IF(ISNUMBER(Qld!L54),Qld!L54*1000000/AT$7,"")</f>
        <v>276.83944873886333</v>
      </c>
      <c r="AU60" s="644">
        <f>IF(ISNUMBER(SA!K54),SA!K54*1000000/AU$7,"")</f>
        <v>9.6065019849078048</v>
      </c>
      <c r="AV60" s="645">
        <f>IF(ISNUMBER(SA!L54),SA!L54*1000000/AV$7,"")</f>
        <v>17.719051177973419</v>
      </c>
      <c r="AW60" s="646">
        <f>IF(ISNUMBER(TAS!K54),TAS!K54*1000000/AW$7,"")</f>
        <v>9.7992358133767645</v>
      </c>
      <c r="AX60" s="646">
        <f>IF(ISNUMBER(TAS!L54),TAS!L54*1000000/AX$7,"")</f>
        <v>54.448293539216749</v>
      </c>
      <c r="AY60" s="644">
        <f>IF(ISNUMBER(Vic!K54),Vic!K54*1000000/AY$7,"")</f>
        <v>36.208410135535722</v>
      </c>
      <c r="AZ60" s="645">
        <f>IF(ISNUMBER(Vic!L54),Vic!L54*1000000/AZ$7,"")</f>
        <v>2966.2243531343593</v>
      </c>
      <c r="BA60" s="644" t="str">
        <f>IF(ISNUMBER(WA!L54),WA!L54*1000000/BA$7,"")</f>
        <v/>
      </c>
      <c r="BB60" s="645">
        <f>IF(ISNUMBER(WA!M54),WA!M54*1000000/BB$7,"")</f>
        <v>9.2064557660831792</v>
      </c>
      <c r="BD60" s="644">
        <v>66.153820503237043</v>
      </c>
      <c r="BE60" s="646">
        <v>273.7220591956418</v>
      </c>
      <c r="BF60" s="646">
        <v>695.51447678473028</v>
      </c>
      <c r="BG60" s="646">
        <v>332.86249121048354</v>
      </c>
      <c r="BH60" s="646">
        <v>16.075912705166449</v>
      </c>
      <c r="BI60" s="646">
        <v>42.851577717179588</v>
      </c>
      <c r="BJ60" s="646">
        <v>53.52025254649628</v>
      </c>
      <c r="BK60" s="645">
        <v>2.8309131690367968</v>
      </c>
      <c r="BM60" s="644">
        <f t="shared" si="8"/>
        <v>32.819583660583064</v>
      </c>
      <c r="BN60" s="646">
        <f t="shared" si="9"/>
        <v>181.80109048777581</v>
      </c>
      <c r="BO60" s="646">
        <f t="shared" si="10"/>
        <v>13.587151138640099</v>
      </c>
      <c r="BP60" s="646">
        <f t="shared" si="11"/>
        <v>246.66841218367566</v>
      </c>
      <c r="BQ60" s="646">
        <f t="shared" si="12"/>
        <v>13.670458874109551</v>
      </c>
      <c r="BR60" s="646">
        <f t="shared" si="13"/>
        <v>32.133522677602528</v>
      </c>
      <c r="BS60" s="646">
        <f t="shared" si="14"/>
        <v>1507.2843129274654</v>
      </c>
      <c r="BT60" s="645">
        <f t="shared" si="15"/>
        <v>4.6189977393760611</v>
      </c>
    </row>
    <row r="61" spans="2:72">
      <c r="B61" s="1034"/>
      <c r="C61" s="1038"/>
      <c r="D61" s="648" t="s">
        <v>56</v>
      </c>
      <c r="E61" s="649" t="s">
        <v>161</v>
      </c>
      <c r="F61" s="650">
        <f>IF(ISNUMBER(ACT!K55),ACT!K55,"")</f>
        <v>0</v>
      </c>
      <c r="G61" s="532" t="s">
        <v>757</v>
      </c>
      <c r="H61" s="651">
        <f>IF(ISNUMBER(ACT!L55),ACT!L55,"")</f>
        <v>0</v>
      </c>
      <c r="I61" s="534" t="s">
        <v>757</v>
      </c>
      <c r="J61" s="651">
        <f>IF(ISNUMBER(NSW!K55),NSW!K55,"")</f>
        <v>123.19499999999999</v>
      </c>
      <c r="K61" s="532" t="s">
        <v>757</v>
      </c>
      <c r="L61" s="651">
        <f>IF(ISNUMBER(NSW!L55),NSW!L55,"")</f>
        <v>62.536000000000001</v>
      </c>
      <c r="M61" s="534" t="s">
        <v>757</v>
      </c>
      <c r="N61" s="650" t="str">
        <f>IF(ISNUMBER(NT!K55),NT!K55,"")</f>
        <v/>
      </c>
      <c r="O61" s="532" t="s">
        <v>757</v>
      </c>
      <c r="P61" s="651" t="str">
        <f>IF(ISNUMBER(NT!L55),NT!L55,"")</f>
        <v/>
      </c>
      <c r="Q61" s="534" t="s">
        <v>757</v>
      </c>
      <c r="R61" s="650">
        <f>IF(ISNUMBER(Qld!K55),Qld!K55,"")</f>
        <v>422.56</v>
      </c>
      <c r="S61" s="532" t="s">
        <v>757</v>
      </c>
      <c r="T61" s="651">
        <f>IF(ISNUMBER(Qld!L55),Qld!L55,"")</f>
        <v>376.12300099999993</v>
      </c>
      <c r="U61" s="534" t="s">
        <v>757</v>
      </c>
      <c r="V61" s="650">
        <f>IF(ISNUMBER(SA!K55),SA!K55,"")</f>
        <v>0</v>
      </c>
      <c r="W61" s="532" t="s">
        <v>757</v>
      </c>
      <c r="X61" s="651">
        <f>IF(ISNUMBER(SA!L55),SA!L55,"")</f>
        <v>0.18</v>
      </c>
      <c r="Y61" s="534" t="s">
        <v>757</v>
      </c>
      <c r="Z61" s="650" t="str">
        <f>IF(ISNUMBER(TAS!K55),TAS!K55,"")</f>
        <v/>
      </c>
      <c r="AA61" s="532" t="s">
        <v>757</v>
      </c>
      <c r="AB61" s="651" t="str">
        <f>IF(ISNUMBER(TAS!L55),TAS!L55,"")</f>
        <v/>
      </c>
      <c r="AC61" s="534" t="s">
        <v>757</v>
      </c>
      <c r="AD61" s="650">
        <f>IF(ISNUMBER(Vic!K55),Vic!K55,"")</f>
        <v>5.54</v>
      </c>
      <c r="AE61" s="539" t="s">
        <v>757</v>
      </c>
      <c r="AF61" s="651">
        <f>IF(ISNUMBER(Vic!L55),Vic!L55,"")</f>
        <v>3.01</v>
      </c>
      <c r="AG61" s="540" t="s">
        <v>757</v>
      </c>
      <c r="AH61" s="650">
        <f>IF(ISNUMBER(WA!L55),WA!L55,"")</f>
        <v>0.21299999999999999</v>
      </c>
      <c r="AI61" s="532" t="s">
        <v>757</v>
      </c>
      <c r="AJ61" s="651">
        <f>IF(ISNUMBER(WA!M55),WA!M55,"")</f>
        <v>19.705660000000002</v>
      </c>
      <c r="AK61" s="534" t="s">
        <v>757</v>
      </c>
      <c r="AL61" s="652"/>
      <c r="AM61" s="647">
        <f>IF(ISNUMBER(ACT!K55),ACT!K55*1000000/AM$7,"")</f>
        <v>0</v>
      </c>
      <c r="AN61" s="653">
        <f>IF(ISNUMBER(ACT!L55),ACT!L55*1000000/AN$7,"")</f>
        <v>0</v>
      </c>
      <c r="AO61" s="654">
        <f>IF(ISNUMBER(NSW!K55),NSW!K55*1000000/AO$7,"")</f>
        <v>16.430883258504426</v>
      </c>
      <c r="AP61" s="654">
        <f>IF(ISNUMBER(NSW!L55),NSW!L55*1000000/AP$7,"")</f>
        <v>8.2891664639751443</v>
      </c>
      <c r="AQ61" s="647" t="str">
        <f>IF(ISNUMBER(NT!K55),NT!K55*1000000/AQ$7,"")</f>
        <v/>
      </c>
      <c r="AR61" s="653" t="str">
        <f>IF(ISNUMBER(NT!L55),NT!L55*1000000/AR$7,"")</f>
        <v/>
      </c>
      <c r="AS61" s="647">
        <f>IF(ISNUMBER(Qld!K55),Qld!K55*1000000/AS$7,"")</f>
        <v>89.779850695530385</v>
      </c>
      <c r="AT61" s="653">
        <f>IF(ISNUMBER(Qld!L55),Qld!L55*1000000/AT$7,"")</f>
        <v>79.365963811249259</v>
      </c>
      <c r="AU61" s="647">
        <f>IF(ISNUMBER(SA!K55),SA!K55*1000000/AU$7,"")</f>
        <v>0</v>
      </c>
      <c r="AV61" s="653">
        <f>IF(ISNUMBER(SA!L55),SA!L55*1000000/AV$7,"")</f>
        <v>0.10659856992096309</v>
      </c>
      <c r="AW61" s="654" t="str">
        <f>IF(ISNUMBER(TAS!K55),TAS!K55*1000000/AW$7,"")</f>
        <v/>
      </c>
      <c r="AX61" s="654" t="str">
        <f>IF(ISNUMBER(TAS!L55),TAS!L55*1000000/AX$7,"")</f>
        <v/>
      </c>
      <c r="AY61" s="647">
        <f>IF(ISNUMBER(Vic!K55),Vic!K55*1000000/AY$7,"")</f>
        <v>0.95231006528137063</v>
      </c>
      <c r="AZ61" s="653">
        <f>IF(ISNUMBER(Vic!L55),Vic!L55*1000000/AZ$7,"")</f>
        <v>0.51314188765295377</v>
      </c>
      <c r="BA61" s="647">
        <f>IF(ISNUMBER(WA!L55),WA!L55*1000000/BA$7,"")</f>
        <v>8.331921861437401E-2</v>
      </c>
      <c r="BB61" s="655">
        <f>IF(ISNUMBER(WA!M55),WA!M55*1000000/BB$7,"")</f>
        <v>7.6556297977202101</v>
      </c>
      <c r="BD61" s="647">
        <v>0</v>
      </c>
      <c r="BE61" s="654">
        <v>19.553664850130659</v>
      </c>
      <c r="BF61" s="654">
        <v>0</v>
      </c>
      <c r="BG61" s="654">
        <v>204.29542358998188</v>
      </c>
      <c r="BH61" s="654">
        <v>0</v>
      </c>
      <c r="BI61" s="654" t="s">
        <v>855</v>
      </c>
      <c r="BJ61" s="654">
        <v>1.405097286013961</v>
      </c>
      <c r="BK61" s="653">
        <v>0.9420750009952884</v>
      </c>
      <c r="BM61" s="647">
        <f t="shared" si="8"/>
        <v>0</v>
      </c>
      <c r="BN61" s="654">
        <f t="shared" si="9"/>
        <v>12.347431298711694</v>
      </c>
      <c r="BO61" s="654" t="str">
        <f t="shared" si="10"/>
        <v/>
      </c>
      <c r="BP61" s="654">
        <f t="shared" si="11"/>
        <v>84.555006547409135</v>
      </c>
      <c r="BQ61" s="654">
        <f t="shared" si="12"/>
        <v>5.3400229976990433E-2</v>
      </c>
      <c r="BR61" s="654" t="str">
        <f t="shared" si="13"/>
        <v/>
      </c>
      <c r="BS61" s="654">
        <f t="shared" si="14"/>
        <v>0.73181647891508339</v>
      </c>
      <c r="BT61" s="653">
        <f t="shared" si="15"/>
        <v>3.8824452162211367</v>
      </c>
    </row>
    <row r="62" spans="2:72">
      <c r="B62" s="1034"/>
      <c r="C62" s="1038"/>
      <c r="D62" s="648" t="s">
        <v>57</v>
      </c>
      <c r="E62" s="649" t="s">
        <v>162</v>
      </c>
      <c r="F62" s="650">
        <f>IF(ISNUMBER(ACT!K56),ACT!K56,"")</f>
        <v>0</v>
      </c>
      <c r="G62" s="532" t="s">
        <v>757</v>
      </c>
      <c r="H62" s="651">
        <f>IF(ISNUMBER(ACT!L56),ACT!L56,"")</f>
        <v>0</v>
      </c>
      <c r="I62" s="534" t="s">
        <v>757</v>
      </c>
      <c r="J62" s="651">
        <f>IF(ISNUMBER(NSW!K56),NSW!K56,"")</f>
        <v>1.71</v>
      </c>
      <c r="K62" s="532" t="s">
        <v>757</v>
      </c>
      <c r="L62" s="651">
        <f>IF(ISNUMBER(NSW!L56),NSW!L56,"")</f>
        <v>0.159</v>
      </c>
      <c r="M62" s="534" t="s">
        <v>757</v>
      </c>
      <c r="N62" s="650" t="str">
        <f>IF(ISNUMBER(NT!K56),NT!K56,"")</f>
        <v/>
      </c>
      <c r="O62" s="532" t="s">
        <v>757</v>
      </c>
      <c r="P62" s="651" t="str">
        <f>IF(ISNUMBER(NT!L56),NT!L56,"")</f>
        <v/>
      </c>
      <c r="Q62" s="534" t="s">
        <v>757</v>
      </c>
      <c r="R62" s="650">
        <f>IF(ISNUMBER(Qld!K56),Qld!K56,"")</f>
        <v>5.84</v>
      </c>
      <c r="S62" s="532" t="s">
        <v>757</v>
      </c>
      <c r="T62" s="651">
        <f>IF(ISNUMBER(Qld!L56),Qld!L56,"")</f>
        <v>45.749001</v>
      </c>
      <c r="U62" s="534" t="s">
        <v>757</v>
      </c>
      <c r="V62" s="650">
        <f>IF(ISNUMBER(SA!K56),SA!K56,"")</f>
        <v>2.09</v>
      </c>
      <c r="W62" s="532" t="s">
        <v>757</v>
      </c>
      <c r="X62" s="651">
        <f>IF(ISNUMBER(SA!L56),SA!L56,"")</f>
        <v>2</v>
      </c>
      <c r="Y62" s="534" t="s">
        <v>757</v>
      </c>
      <c r="Z62" s="650" t="str">
        <f>IF(ISNUMBER(TAS!K56),TAS!K56,"")</f>
        <v/>
      </c>
      <c r="AA62" s="532" t="s">
        <v>757</v>
      </c>
      <c r="AB62" s="651" t="str">
        <f>IF(ISNUMBER(TAS!L56),TAS!L56,"")</f>
        <v/>
      </c>
      <c r="AC62" s="534" t="s">
        <v>757</v>
      </c>
      <c r="AD62" s="650">
        <f>IF(ISNUMBER(Vic!K56),Vic!K56,"")</f>
        <v>0</v>
      </c>
      <c r="AE62" s="539" t="s">
        <v>757</v>
      </c>
      <c r="AF62" s="651">
        <f>IF(ISNUMBER(Vic!L56),Vic!L56,"")</f>
        <v>30.060000000000002</v>
      </c>
      <c r="AG62" s="540" t="s">
        <v>757</v>
      </c>
      <c r="AH62" s="650" t="str">
        <f>IF(ISNUMBER(WA!L56),WA!L56,"")</f>
        <v/>
      </c>
      <c r="AI62" s="532" t="s">
        <v>757</v>
      </c>
      <c r="AJ62" s="651">
        <f>IF(ISNUMBER(WA!M56),WA!M56,"")</f>
        <v>1.698</v>
      </c>
      <c r="AK62" s="534" t="s">
        <v>757</v>
      </c>
      <c r="AL62" s="652"/>
      <c r="AM62" s="647">
        <f>IF(ISNUMBER(ACT!K56),ACT!K56*1000000/AM$7,"")</f>
        <v>0</v>
      </c>
      <c r="AN62" s="653">
        <f>IF(ISNUMBER(ACT!L56),ACT!L56*1000000/AN$7,"")</f>
        <v>0</v>
      </c>
      <c r="AO62" s="654">
        <f>IF(ISNUMBER(NSW!K56),NSW!K56*1000000/AO$7,"")</f>
        <v>0.22806778174473452</v>
      </c>
      <c r="AP62" s="654">
        <f>IF(ISNUMBER(NSW!L56),NSW!L56*1000000/AP$7,"")</f>
        <v>2.1075499996354868E-2</v>
      </c>
      <c r="AQ62" s="647" t="str">
        <f>IF(ISNUMBER(NT!K56),NT!K56*1000000/AQ$7,"")</f>
        <v/>
      </c>
      <c r="AR62" s="653" t="str">
        <f>IF(ISNUMBER(NT!L56),NT!L56*1000000/AR$7,"")</f>
        <v/>
      </c>
      <c r="AS62" s="647">
        <f>IF(ISNUMBER(Qld!K56),Qld!K56*1000000/AS$7,"")</f>
        <v>1.2408044492188031</v>
      </c>
      <c r="AT62" s="653">
        <f>IF(ISNUMBER(Qld!L56),Qld!L56*1000000/AT$7,"")</f>
        <v>9.6535270326815432</v>
      </c>
      <c r="AU62" s="647">
        <f>IF(ISNUMBER(SA!K56),SA!K56*1000000/AU$7,"")</f>
        <v>1.2424250710679028</v>
      </c>
      <c r="AV62" s="653">
        <f>IF(ISNUMBER(SA!L56),SA!L56*1000000/AV$7,"")</f>
        <v>1.1844285546773676</v>
      </c>
      <c r="AW62" s="654" t="str">
        <f>IF(ISNUMBER(TAS!K56),TAS!K56*1000000/AW$7,"")</f>
        <v/>
      </c>
      <c r="AX62" s="654" t="str">
        <f>IF(ISNUMBER(TAS!L56),TAS!L56*1000000/AX$7,"")</f>
        <v/>
      </c>
      <c r="AY62" s="647">
        <f>IF(ISNUMBER(Vic!K56),Vic!K56*1000000/AY$7,"")</f>
        <v>0</v>
      </c>
      <c r="AZ62" s="653">
        <f>IF(ISNUMBER(Vic!L56),Vic!L56*1000000/AZ$7,"")</f>
        <v>5.1245997152318248</v>
      </c>
      <c r="BA62" s="647" t="str">
        <f>IF(ISNUMBER(WA!L56),WA!L56*1000000/BA$7,"")</f>
        <v/>
      </c>
      <c r="BB62" s="655">
        <f>IF(ISNUMBER(WA!M56),WA!M56*1000000/BB$7,"")</f>
        <v>0.65967135313046688</v>
      </c>
      <c r="BD62" s="647">
        <v>0</v>
      </c>
      <c r="BE62" s="654">
        <v>0</v>
      </c>
      <c r="BF62" s="654">
        <v>0</v>
      </c>
      <c r="BG62" s="654">
        <v>3.2088286427745842</v>
      </c>
      <c r="BH62" s="654">
        <v>0</v>
      </c>
      <c r="BI62" s="654">
        <v>6.8172964550058435</v>
      </c>
      <c r="BJ62" s="654">
        <v>0.20193431115110935</v>
      </c>
      <c r="BK62" s="653">
        <v>7.9841189595659695E-2</v>
      </c>
      <c r="BM62" s="647">
        <f t="shared" si="8"/>
        <v>0</v>
      </c>
      <c r="BN62" s="654">
        <f t="shared" si="9"/>
        <v>0.12425146635344748</v>
      </c>
      <c r="BO62" s="654" t="str">
        <f t="shared" si="10"/>
        <v/>
      </c>
      <c r="BP62" s="654">
        <f t="shared" si="11"/>
        <v>5.4616265926126761</v>
      </c>
      <c r="BQ62" s="654">
        <f t="shared" si="12"/>
        <v>1.2133718922549492</v>
      </c>
      <c r="BR62" s="654" t="str">
        <f t="shared" si="13"/>
        <v/>
      </c>
      <c r="BS62" s="654">
        <f t="shared" si="14"/>
        <v>2.5729126732382932</v>
      </c>
      <c r="BT62" s="653">
        <f t="shared" si="15"/>
        <v>0.33096563609918989</v>
      </c>
    </row>
    <row r="63" spans="2:72">
      <c r="B63" s="1034"/>
      <c r="C63" s="1038"/>
      <c r="D63" s="648" t="s">
        <v>120</v>
      </c>
      <c r="E63" s="649" t="s">
        <v>119</v>
      </c>
      <c r="F63" s="650">
        <f>IF(ISNUMBER(ACT!K57),ACT!K57,"")</f>
        <v>0</v>
      </c>
      <c r="G63" s="532" t="s">
        <v>757</v>
      </c>
      <c r="H63" s="651">
        <f>IF(ISNUMBER(ACT!L57),ACT!L57,"")</f>
        <v>0</v>
      </c>
      <c r="I63" s="534" t="s">
        <v>757</v>
      </c>
      <c r="J63" s="651" t="str">
        <f>IF(ISNUMBER(NSW!K57),NSW!K57,"")</f>
        <v/>
      </c>
      <c r="K63" s="532" t="s">
        <v>757</v>
      </c>
      <c r="L63" s="651" t="str">
        <f>IF(ISNUMBER(NSW!L57),NSW!L57,"")</f>
        <v/>
      </c>
      <c r="M63" s="534" t="s">
        <v>757</v>
      </c>
      <c r="N63" s="650" t="str">
        <f>IF(ISNUMBER(NT!K57),NT!K57,"")</f>
        <v/>
      </c>
      <c r="O63" s="532" t="s">
        <v>757</v>
      </c>
      <c r="P63" s="651" t="str">
        <f>IF(ISNUMBER(NT!L57),NT!L57,"")</f>
        <v/>
      </c>
      <c r="Q63" s="534" t="s">
        <v>757</v>
      </c>
      <c r="R63" s="650">
        <f>IF(ISNUMBER(Qld!K57),Qld!K57,"")</f>
        <v>0</v>
      </c>
      <c r="S63" s="532" t="s">
        <v>757</v>
      </c>
      <c r="T63" s="651">
        <f>IF(ISNUMBER(Qld!L57),Qld!L57,"")</f>
        <v>9.9999999999999995E-7</v>
      </c>
      <c r="U63" s="534" t="s">
        <v>757</v>
      </c>
      <c r="V63" s="650">
        <f>IF(ISNUMBER(SA!K57),SA!K57,"")</f>
        <v>0</v>
      </c>
      <c r="W63" s="532" t="s">
        <v>757</v>
      </c>
      <c r="X63" s="651">
        <f>IF(ISNUMBER(SA!L57),SA!L57,"")</f>
        <v>0</v>
      </c>
      <c r="Y63" s="534" t="s">
        <v>757</v>
      </c>
      <c r="Z63" s="650" t="str">
        <f>IF(ISNUMBER(TAS!K57),TAS!K57,"")</f>
        <v/>
      </c>
      <c r="AA63" s="532" t="s">
        <v>757</v>
      </c>
      <c r="AB63" s="651" t="str">
        <f>IF(ISNUMBER(TAS!L57),TAS!L57,"")</f>
        <v/>
      </c>
      <c r="AC63" s="534" t="s">
        <v>757</v>
      </c>
      <c r="AD63" s="650" t="str">
        <f>IF(ISNUMBER(Vic!K57),Vic!K57,"")</f>
        <v/>
      </c>
      <c r="AE63" s="531"/>
      <c r="AF63" s="651" t="str">
        <f>IF(ISNUMBER(Vic!L57),Vic!L57,"")</f>
        <v/>
      </c>
      <c r="AG63" s="531"/>
      <c r="AH63" s="650" t="str">
        <f>IF(ISNUMBER(WA!L57),WA!L57,"")</f>
        <v/>
      </c>
      <c r="AI63" s="532" t="s">
        <v>757</v>
      </c>
      <c r="AJ63" s="651">
        <f>IF(ISNUMBER(WA!M57),WA!M57,"")</f>
        <v>0.20499999999999999</v>
      </c>
      <c r="AK63" s="534" t="s">
        <v>757</v>
      </c>
      <c r="AL63" s="652"/>
      <c r="AM63" s="647">
        <f>IF(ISNUMBER(ACT!K57),ACT!K57*1000000/AM$7,"")</f>
        <v>0</v>
      </c>
      <c r="AN63" s="653">
        <f>IF(ISNUMBER(ACT!L57),ACT!L57*1000000/AN$7,"")</f>
        <v>0</v>
      </c>
      <c r="AO63" s="654" t="str">
        <f>IF(ISNUMBER(NSW!K57),NSW!K57*1000000/AO$7,"")</f>
        <v/>
      </c>
      <c r="AP63" s="654" t="str">
        <f>IF(ISNUMBER(NSW!L57),NSW!L57*1000000/AP$7,"")</f>
        <v/>
      </c>
      <c r="AQ63" s="647" t="str">
        <f>IF(ISNUMBER(NT!K57),NT!K57*1000000/AQ$7,"")</f>
        <v/>
      </c>
      <c r="AR63" s="653" t="str">
        <f>IF(ISNUMBER(NT!L57),NT!L57*1000000/AR$7,"")</f>
        <v/>
      </c>
      <c r="AS63" s="647">
        <f>IF(ISNUMBER(Qld!K57),Qld!K57*1000000/AS$7,"")</f>
        <v>0</v>
      </c>
      <c r="AT63" s="653">
        <f>IF(ISNUMBER(Qld!L57),Qld!L57*1000000/AT$7,"")</f>
        <v>2.1101066300183346E-7</v>
      </c>
      <c r="AU63" s="647">
        <f>IF(ISNUMBER(SA!K57),SA!K57*1000000/AU$7,"")</f>
        <v>0</v>
      </c>
      <c r="AV63" s="653">
        <f>IF(ISNUMBER(SA!L57),SA!L57*1000000/AV$7,"")</f>
        <v>0</v>
      </c>
      <c r="AW63" s="654" t="str">
        <f>IF(ISNUMBER(TAS!K57),TAS!K57*1000000/AW$7,"")</f>
        <v/>
      </c>
      <c r="AX63" s="654" t="str">
        <f>IF(ISNUMBER(TAS!L57),TAS!L57*1000000/AX$7,"")</f>
        <v/>
      </c>
      <c r="AY63" s="647" t="str">
        <f>IF(ISNUMBER(Vic!K57),Vic!K57*1000000/AY$7,"")</f>
        <v/>
      </c>
      <c r="AZ63" s="653" t="str">
        <f>IF(ISNUMBER(Vic!L57),Vic!L57*1000000/AZ$7,"")</f>
        <v/>
      </c>
      <c r="BA63" s="647" t="str">
        <f>IF(ISNUMBER(WA!L57),WA!L57*1000000/BA$7,"")</f>
        <v/>
      </c>
      <c r="BB63" s="655">
        <f>IF(ISNUMBER(WA!M57),WA!M57*1000000/BB$7,"")</f>
        <v>7.9642301172995117E-2</v>
      </c>
      <c r="BD63" s="647">
        <v>0</v>
      </c>
      <c r="BE63" s="654">
        <v>0</v>
      </c>
      <c r="BF63" s="654">
        <v>0</v>
      </c>
      <c r="BG63" s="654">
        <v>0</v>
      </c>
      <c r="BH63" s="654">
        <v>0</v>
      </c>
      <c r="BI63" s="654" t="s">
        <v>855</v>
      </c>
      <c r="BJ63" s="654" t="s">
        <v>855</v>
      </c>
      <c r="BK63" s="653">
        <v>0</v>
      </c>
      <c r="BM63" s="647">
        <f t="shared" si="8"/>
        <v>0</v>
      </c>
      <c r="BN63" s="654" t="str">
        <f t="shared" si="9"/>
        <v/>
      </c>
      <c r="BO63" s="654" t="str">
        <f t="shared" si="10"/>
        <v/>
      </c>
      <c r="BP63" s="654">
        <f t="shared" si="11"/>
        <v>1.0586804331823902E-7</v>
      </c>
      <c r="BQ63" s="654">
        <f t="shared" si="12"/>
        <v>0</v>
      </c>
      <c r="BR63" s="654" t="str">
        <f t="shared" si="13"/>
        <v/>
      </c>
      <c r="BS63" s="654" t="str">
        <f t="shared" si="14"/>
        <v/>
      </c>
      <c r="BT63" s="653">
        <f t="shared" si="15"/>
        <v>3.9957570907146009E-2</v>
      </c>
    </row>
    <row r="64" spans="2:72">
      <c r="B64" s="1034"/>
      <c r="C64" s="1038"/>
      <c r="D64" s="648" t="s">
        <v>122</v>
      </c>
      <c r="E64" s="649" t="s">
        <v>121</v>
      </c>
      <c r="F64" s="650">
        <f>IF(ISNUMBER(ACT!K58),ACT!K58,"")</f>
        <v>0</v>
      </c>
      <c r="G64" s="532" t="s">
        <v>757</v>
      </c>
      <c r="H64" s="651">
        <f>IF(ISNUMBER(ACT!L58),ACT!L58,"")</f>
        <v>0</v>
      </c>
      <c r="I64" s="534" t="s">
        <v>757</v>
      </c>
      <c r="J64" s="651" t="str">
        <f>IF(ISNUMBER(NSW!K58),NSW!K58,"")</f>
        <v/>
      </c>
      <c r="K64" s="532" t="s">
        <v>757</v>
      </c>
      <c r="L64" s="651" t="str">
        <f>IF(ISNUMBER(NSW!L58),NSW!L58,"")</f>
        <v/>
      </c>
      <c r="M64" s="534" t="s">
        <v>757</v>
      </c>
      <c r="N64" s="650" t="str">
        <f>IF(ISNUMBER(NT!K58),NT!K58,"")</f>
        <v/>
      </c>
      <c r="O64" s="532" t="s">
        <v>757</v>
      </c>
      <c r="P64" s="651" t="str">
        <f>IF(ISNUMBER(NT!L58),NT!L58,"")</f>
        <v/>
      </c>
      <c r="Q64" s="534" t="s">
        <v>757</v>
      </c>
      <c r="R64" s="650">
        <f>IF(ISNUMBER(Qld!K58),Qld!K58,"")</f>
        <v>0</v>
      </c>
      <c r="S64" s="532" t="s">
        <v>757</v>
      </c>
      <c r="T64" s="651">
        <f>IF(ISNUMBER(Qld!L58),Qld!L58,"")</f>
        <v>9.9999999999999995E-7</v>
      </c>
      <c r="U64" s="534" t="s">
        <v>757</v>
      </c>
      <c r="V64" s="650">
        <f>IF(ISNUMBER(SA!K58),SA!K58,"")</f>
        <v>0</v>
      </c>
      <c r="W64" s="532" t="s">
        <v>757</v>
      </c>
      <c r="X64" s="651">
        <f>IF(ISNUMBER(SA!L58),SA!L58,"")</f>
        <v>0</v>
      </c>
      <c r="Y64" s="534" t="s">
        <v>757</v>
      </c>
      <c r="Z64" s="650" t="str">
        <f>IF(ISNUMBER(TAS!K58),TAS!K58,"")</f>
        <v/>
      </c>
      <c r="AA64" s="532" t="s">
        <v>757</v>
      </c>
      <c r="AB64" s="651" t="str">
        <f>IF(ISNUMBER(TAS!L58),TAS!L58,"")</f>
        <v/>
      </c>
      <c r="AC64" s="534" t="s">
        <v>757</v>
      </c>
      <c r="AD64" s="650" t="str">
        <f>IF(ISNUMBER(Vic!K58),Vic!K58,"")</f>
        <v/>
      </c>
      <c r="AE64" s="531"/>
      <c r="AF64" s="651" t="str">
        <f>IF(ISNUMBER(Vic!L58),Vic!L58,"")</f>
        <v/>
      </c>
      <c r="AG64" s="531"/>
      <c r="AH64" s="650" t="str">
        <f>IF(ISNUMBER(WA!L58),WA!L58,"")</f>
        <v/>
      </c>
      <c r="AI64" s="532" t="s">
        <v>757</v>
      </c>
      <c r="AJ64" s="651" t="str">
        <f>IF(ISNUMBER(WA!M58),WA!M58,"")</f>
        <v/>
      </c>
      <c r="AK64" s="534" t="s">
        <v>757</v>
      </c>
      <c r="AL64" s="652"/>
      <c r="AM64" s="647">
        <f>IF(ISNUMBER(ACT!K58),ACT!K58*1000000/AM$7,"")</f>
        <v>0</v>
      </c>
      <c r="AN64" s="653">
        <f>IF(ISNUMBER(ACT!L58),ACT!L58*1000000/AN$7,"")</f>
        <v>0</v>
      </c>
      <c r="AO64" s="654" t="str">
        <f>IF(ISNUMBER(NSW!K58),NSW!K58*1000000/AO$7,"")</f>
        <v/>
      </c>
      <c r="AP64" s="654" t="str">
        <f>IF(ISNUMBER(NSW!L58),NSW!L58*1000000/AP$7,"")</f>
        <v/>
      </c>
      <c r="AQ64" s="647" t="str">
        <f>IF(ISNUMBER(NT!K58),NT!K58*1000000/AQ$7,"")</f>
        <v/>
      </c>
      <c r="AR64" s="653" t="str">
        <f>IF(ISNUMBER(NT!L58),NT!L58*1000000/AR$7,"")</f>
        <v/>
      </c>
      <c r="AS64" s="647">
        <f>IF(ISNUMBER(Qld!K58),Qld!K58*1000000/AS$7,"")</f>
        <v>0</v>
      </c>
      <c r="AT64" s="653">
        <f>IF(ISNUMBER(Qld!L58),Qld!L58*1000000/AT$7,"")</f>
        <v>2.1101066300183346E-7</v>
      </c>
      <c r="AU64" s="647">
        <f>IF(ISNUMBER(SA!K58),SA!K58*1000000/AU$7,"")</f>
        <v>0</v>
      </c>
      <c r="AV64" s="653">
        <f>IF(ISNUMBER(SA!L58),SA!L58*1000000/AV$7,"")</f>
        <v>0</v>
      </c>
      <c r="AW64" s="654" t="str">
        <f>IF(ISNUMBER(TAS!K58),TAS!K58*1000000/AW$7,"")</f>
        <v/>
      </c>
      <c r="AX64" s="654" t="str">
        <f>IF(ISNUMBER(TAS!L58),TAS!L58*1000000/AX$7,"")</f>
        <v/>
      </c>
      <c r="AY64" s="647" t="str">
        <f>IF(ISNUMBER(Vic!K58),Vic!K58*1000000/AY$7,"")</f>
        <v/>
      </c>
      <c r="AZ64" s="653" t="str">
        <f>IF(ISNUMBER(Vic!L58),Vic!L58*1000000/AZ$7,"")</f>
        <v/>
      </c>
      <c r="BA64" s="647" t="str">
        <f>IF(ISNUMBER(WA!L58),WA!L58*1000000/BA$7,"")</f>
        <v/>
      </c>
      <c r="BB64" s="655" t="str">
        <f>IF(ISNUMBER(WA!M58),WA!M58*1000000/BB$7,"")</f>
        <v/>
      </c>
      <c r="BD64" s="647">
        <v>0</v>
      </c>
      <c r="BE64" s="654">
        <v>0</v>
      </c>
      <c r="BF64" s="654">
        <v>0</v>
      </c>
      <c r="BG64" s="654">
        <v>0</v>
      </c>
      <c r="BH64" s="654">
        <v>0</v>
      </c>
      <c r="BI64" s="654" t="s">
        <v>855</v>
      </c>
      <c r="BJ64" s="654" t="s">
        <v>855</v>
      </c>
      <c r="BK64" s="653">
        <v>0</v>
      </c>
      <c r="BM64" s="647">
        <f t="shared" si="8"/>
        <v>0</v>
      </c>
      <c r="BN64" s="654" t="str">
        <f t="shared" si="9"/>
        <v/>
      </c>
      <c r="BO64" s="654" t="str">
        <f t="shared" si="10"/>
        <v/>
      </c>
      <c r="BP64" s="654">
        <f t="shared" si="11"/>
        <v>1.0586804331823902E-7</v>
      </c>
      <c r="BQ64" s="654">
        <f t="shared" si="12"/>
        <v>0</v>
      </c>
      <c r="BR64" s="654" t="str">
        <f t="shared" si="13"/>
        <v/>
      </c>
      <c r="BS64" s="654" t="str">
        <f t="shared" si="14"/>
        <v/>
      </c>
      <c r="BT64" s="653" t="str">
        <f t="shared" si="15"/>
        <v/>
      </c>
    </row>
    <row r="65" spans="2:72">
      <c r="B65" s="1034"/>
      <c r="C65" s="1038"/>
      <c r="D65" s="648" t="s">
        <v>124</v>
      </c>
      <c r="E65" s="649" t="s">
        <v>123</v>
      </c>
      <c r="F65" s="650">
        <f>IF(ISNUMBER(ACT!K59),ACT!K59,"")</f>
        <v>0</v>
      </c>
      <c r="G65" s="532" t="s">
        <v>757</v>
      </c>
      <c r="H65" s="651">
        <f>IF(ISNUMBER(ACT!L59),ACT!L59,"")</f>
        <v>0</v>
      </c>
      <c r="I65" s="534" t="s">
        <v>757</v>
      </c>
      <c r="J65" s="651" t="str">
        <f>IF(ISNUMBER(NSW!K59),NSW!K59,"")</f>
        <v/>
      </c>
      <c r="K65" s="532" t="s">
        <v>757</v>
      </c>
      <c r="L65" s="651" t="str">
        <f>IF(ISNUMBER(NSW!L59),NSW!L59,"")</f>
        <v/>
      </c>
      <c r="M65" s="534" t="s">
        <v>757</v>
      </c>
      <c r="N65" s="650" t="str">
        <f>IF(ISNUMBER(NT!K59),NT!K59,"")</f>
        <v/>
      </c>
      <c r="O65" s="532" t="s">
        <v>757</v>
      </c>
      <c r="P65" s="651" t="str">
        <f>IF(ISNUMBER(NT!L59),NT!L59,"")</f>
        <v/>
      </c>
      <c r="Q65" s="534" t="s">
        <v>757</v>
      </c>
      <c r="R65" s="650">
        <f>IF(ISNUMBER(Qld!K59),Qld!K59,"")</f>
        <v>70.47999999999999</v>
      </c>
      <c r="S65" s="532" t="s">
        <v>757</v>
      </c>
      <c r="T65" s="651">
        <f>IF(ISNUMBER(Qld!L59),Qld!L59,"")</f>
        <v>2.7000010000000003</v>
      </c>
      <c r="U65" s="534" t="s">
        <v>757</v>
      </c>
      <c r="V65" s="650">
        <f>IF(ISNUMBER(SA!K59),SA!K59,"")</f>
        <v>0</v>
      </c>
      <c r="W65" s="532" t="s">
        <v>757</v>
      </c>
      <c r="X65" s="651">
        <f>IF(ISNUMBER(SA!L59),SA!L59,"")</f>
        <v>0</v>
      </c>
      <c r="Y65" s="534" t="s">
        <v>757</v>
      </c>
      <c r="Z65" s="650" t="str">
        <f>IF(ISNUMBER(TAS!K59),TAS!K59,"")</f>
        <v/>
      </c>
      <c r="AA65" s="532" t="s">
        <v>757</v>
      </c>
      <c r="AB65" s="651" t="str">
        <f>IF(ISNUMBER(TAS!L59),TAS!L59,"")</f>
        <v/>
      </c>
      <c r="AC65" s="534" t="s">
        <v>757</v>
      </c>
      <c r="AD65" s="650" t="str">
        <f>IF(ISNUMBER(Vic!K59),Vic!K59,"")</f>
        <v/>
      </c>
      <c r="AE65" s="531"/>
      <c r="AF65" s="651" t="str">
        <f>IF(ISNUMBER(Vic!L59),Vic!L59,"")</f>
        <v/>
      </c>
      <c r="AG65" s="531"/>
      <c r="AH65" s="650" t="str">
        <f>IF(ISNUMBER(WA!L59),WA!L59,"")</f>
        <v/>
      </c>
      <c r="AI65" s="532" t="s">
        <v>757</v>
      </c>
      <c r="AJ65" s="651">
        <f>IF(ISNUMBER(WA!M59),WA!M59,"")</f>
        <v>26.085000000000001</v>
      </c>
      <c r="AK65" s="534" t="s">
        <v>757</v>
      </c>
      <c r="AL65" s="652"/>
      <c r="AM65" s="647">
        <f>IF(ISNUMBER(ACT!K59),ACT!K59*1000000/AM$7,"")</f>
        <v>0</v>
      </c>
      <c r="AN65" s="653">
        <f>IF(ISNUMBER(ACT!L59),ACT!L59*1000000/AN$7,"")</f>
        <v>0</v>
      </c>
      <c r="AO65" s="654" t="str">
        <f>IF(ISNUMBER(NSW!K59),NSW!K59*1000000/AO$7,"")</f>
        <v/>
      </c>
      <c r="AP65" s="654" t="str">
        <f>IF(ISNUMBER(NSW!L59),NSW!L59*1000000/AP$7,"")</f>
        <v/>
      </c>
      <c r="AQ65" s="647" t="str">
        <f>IF(ISNUMBER(NT!K59),NT!K59*1000000/AQ$7,"")</f>
        <v/>
      </c>
      <c r="AR65" s="653" t="str">
        <f>IF(ISNUMBER(NT!L59),NT!L59*1000000/AR$7,"")</f>
        <v/>
      </c>
      <c r="AS65" s="647">
        <f>IF(ISNUMBER(Qld!K59),Qld!K59*1000000/AS$7,"")</f>
        <v>14.974639996736512</v>
      </c>
      <c r="AT65" s="653">
        <f>IF(ISNUMBER(Qld!L59),Qld!L59*1000000/AT$7,"")</f>
        <v>0.56972900111561342</v>
      </c>
      <c r="AU65" s="647">
        <f>IF(ISNUMBER(SA!K59),SA!K59*1000000/AU$7,"")</f>
        <v>0</v>
      </c>
      <c r="AV65" s="653">
        <f>IF(ISNUMBER(SA!L59),SA!L59*1000000/AV$7,"")</f>
        <v>0</v>
      </c>
      <c r="AW65" s="654" t="str">
        <f>IF(ISNUMBER(TAS!K59),TAS!K59*1000000/AW$7,"")</f>
        <v/>
      </c>
      <c r="AX65" s="654" t="str">
        <f>IF(ISNUMBER(TAS!L59),TAS!L59*1000000/AX$7,"")</f>
        <v/>
      </c>
      <c r="AY65" s="647" t="str">
        <f>IF(ISNUMBER(Vic!K59),Vic!K59*1000000/AY$7,"")</f>
        <v/>
      </c>
      <c r="AZ65" s="653" t="str">
        <f>IF(ISNUMBER(Vic!L59),Vic!L59*1000000/AZ$7,"")</f>
        <v/>
      </c>
      <c r="BA65" s="647" t="str">
        <f>IF(ISNUMBER(WA!L59),WA!L59*1000000/BA$7,"")</f>
        <v/>
      </c>
      <c r="BB65" s="655">
        <f>IF(ISNUMBER(WA!M59),WA!M59*1000000/BB$7,"")</f>
        <v>10.133997200475989</v>
      </c>
      <c r="BD65" s="647">
        <v>0</v>
      </c>
      <c r="BE65" s="654">
        <v>0</v>
      </c>
      <c r="BF65" s="654">
        <v>0</v>
      </c>
      <c r="BG65" s="654">
        <v>1.9252971856647505</v>
      </c>
      <c r="BH65" s="654">
        <v>0</v>
      </c>
      <c r="BI65" s="654" t="s">
        <v>855</v>
      </c>
      <c r="BJ65" s="654" t="s">
        <v>855</v>
      </c>
      <c r="BK65" s="653">
        <v>0.79922794580435297</v>
      </c>
      <c r="BM65" s="647">
        <f t="shared" si="8"/>
        <v>0</v>
      </c>
      <c r="BN65" s="654" t="str">
        <f t="shared" si="9"/>
        <v/>
      </c>
      <c r="BO65" s="654" t="str">
        <f t="shared" si="10"/>
        <v/>
      </c>
      <c r="BP65" s="654">
        <f t="shared" si="11"/>
        <v>7.7474235158967737</v>
      </c>
      <c r="BQ65" s="654">
        <f t="shared" si="12"/>
        <v>0</v>
      </c>
      <c r="BR65" s="654" t="str">
        <f t="shared" si="13"/>
        <v/>
      </c>
      <c r="BS65" s="654" t="str">
        <f t="shared" si="14"/>
        <v/>
      </c>
      <c r="BT65" s="653">
        <f t="shared" si="15"/>
        <v>5.0843572542092863</v>
      </c>
    </row>
    <row r="66" spans="2:72">
      <c r="B66" s="1034"/>
      <c r="C66" s="1038"/>
      <c r="D66" s="648" t="s">
        <v>58</v>
      </c>
      <c r="E66" s="649" t="s">
        <v>136</v>
      </c>
      <c r="F66" s="650">
        <f>IF(ISNUMBER(ACT!K60),ACT!K60,"")</f>
        <v>0</v>
      </c>
      <c r="G66" s="532" t="s">
        <v>757</v>
      </c>
      <c r="H66" s="651">
        <f>IF(ISNUMBER(ACT!L60),ACT!L60,"")</f>
        <v>0</v>
      </c>
      <c r="I66" s="534" t="s">
        <v>757</v>
      </c>
      <c r="J66" s="651">
        <f>IF(ISNUMBER(NSW!K60),NSW!K60,"")</f>
        <v>24.8415</v>
      </c>
      <c r="K66" s="532" t="s">
        <v>757</v>
      </c>
      <c r="L66" s="651">
        <f>IF(ISNUMBER(NSW!L60),NSW!L60,"")</f>
        <v>58.156500000000001</v>
      </c>
      <c r="M66" s="534" t="s">
        <v>757</v>
      </c>
      <c r="N66" s="650" t="str">
        <f>IF(ISNUMBER(NT!K60),NT!K60,"")</f>
        <v/>
      </c>
      <c r="O66" s="532" t="s">
        <v>757</v>
      </c>
      <c r="P66" s="651" t="str">
        <f>IF(ISNUMBER(NT!L60),NT!L60,"")</f>
        <v/>
      </c>
      <c r="Q66" s="534" t="s">
        <v>757</v>
      </c>
      <c r="R66" s="650">
        <f>IF(ISNUMBER(Qld!K60),Qld!K60,"")</f>
        <v>48.622</v>
      </c>
      <c r="S66" s="532" t="s">
        <v>757</v>
      </c>
      <c r="T66" s="651">
        <f>IF(ISNUMBER(Qld!L60),Qld!L60,"")</f>
        <v>152.930001</v>
      </c>
      <c r="U66" s="534" t="s">
        <v>757</v>
      </c>
      <c r="V66" s="650">
        <f>IF(ISNUMBER(SA!K60),SA!K60,"")</f>
        <v>45.98</v>
      </c>
      <c r="W66" s="532" t="s">
        <v>757</v>
      </c>
      <c r="X66" s="651">
        <f>IF(ISNUMBER(SA!L60),SA!L60,"")</f>
        <v>20.55</v>
      </c>
      <c r="Y66" s="534" t="s">
        <v>757</v>
      </c>
      <c r="Z66" s="650" t="str">
        <f>IF(ISNUMBER(TAS!K60),TAS!K60,"")</f>
        <v/>
      </c>
      <c r="AA66" s="532" t="s">
        <v>757</v>
      </c>
      <c r="AB66" s="651" t="str">
        <f>IF(ISNUMBER(TAS!L60),TAS!L60,"")</f>
        <v/>
      </c>
      <c r="AC66" s="534" t="s">
        <v>757</v>
      </c>
      <c r="AD66" s="650">
        <f>IF(ISNUMBER(Vic!K60),Vic!K60,"")</f>
        <v>16.059999999999999</v>
      </c>
      <c r="AE66" s="539" t="s">
        <v>757</v>
      </c>
      <c r="AF66" s="651">
        <f>IF(ISNUMBER(Vic!L60),Vic!L60,"")</f>
        <v>20.18</v>
      </c>
      <c r="AG66" s="540" t="s">
        <v>757</v>
      </c>
      <c r="AH66" s="650">
        <f>IF(ISNUMBER(WA!L60),WA!L60,"")</f>
        <v>1.22</v>
      </c>
      <c r="AI66" s="532" t="s">
        <v>757</v>
      </c>
      <c r="AJ66" s="651">
        <f>IF(ISNUMBER(WA!M60),WA!M60,"")</f>
        <v>7.5670000000000002</v>
      </c>
      <c r="AK66" s="534" t="s">
        <v>757</v>
      </c>
      <c r="AL66" s="652"/>
      <c r="AM66" s="647">
        <f>IF(ISNUMBER(ACT!K60),ACT!K60*1000000/AM$7,"")</f>
        <v>0</v>
      </c>
      <c r="AN66" s="653">
        <f>IF(ISNUMBER(ACT!L60),ACT!L60*1000000/AN$7,"")</f>
        <v>0</v>
      </c>
      <c r="AO66" s="654">
        <f>IF(ISNUMBER(NSW!K60),NSW!K60*1000000/AO$7,"")</f>
        <v>3.3131846784864463</v>
      </c>
      <c r="AP66" s="654">
        <f>IF(ISNUMBER(NSW!L60),NSW!L60*1000000/AP$7,"")</f>
        <v>7.7086623618742882</v>
      </c>
      <c r="AQ66" s="647" t="str">
        <f>IF(ISNUMBER(NT!K60),NT!K60*1000000/AQ$7,"")</f>
        <v/>
      </c>
      <c r="AR66" s="653" t="str">
        <f>IF(ISNUMBER(NT!L60),NT!L60*1000000/AR$7,"")</f>
        <v/>
      </c>
      <c r="AS66" s="647">
        <f>IF(ISNUMBER(Qld!K60),Qld!K60*1000000/AS$7,"")</f>
        <v>10.330546905807644</v>
      </c>
      <c r="AT66" s="653">
        <f>IF(ISNUMBER(Qld!L60),Qld!L60*1000000/AT$7,"")</f>
        <v>32.269860903881053</v>
      </c>
      <c r="AU66" s="647">
        <f>IF(ISNUMBER(SA!K60),SA!K60*1000000/AU$7,"")</f>
        <v>27.333351563493867</v>
      </c>
      <c r="AV66" s="653">
        <f>IF(ISNUMBER(SA!L60),SA!L60*1000000/AV$7,"")</f>
        <v>12.170003399309952</v>
      </c>
      <c r="AW66" s="654" t="str">
        <f>IF(ISNUMBER(TAS!K60),TAS!K60*1000000/AW$7,"")</f>
        <v/>
      </c>
      <c r="AX66" s="654" t="str">
        <f>IF(ISNUMBER(TAS!L60),TAS!L60*1000000/AX$7,"")</f>
        <v/>
      </c>
      <c r="AY66" s="647">
        <f>IF(ISNUMBER(Vic!K60),Vic!K60*1000000/AY$7,"")</f>
        <v>2.7606678065737924</v>
      </c>
      <c r="AZ66" s="653">
        <f>IF(ISNUMBER(Vic!L60),Vic!L60*1000000/AZ$7,"")</f>
        <v>3.4402668746965475</v>
      </c>
      <c r="BA66" s="647">
        <f>IF(ISNUMBER(WA!L60),WA!L60*1000000/BA$7,"")</f>
        <v>0.47722744934054601</v>
      </c>
      <c r="BB66" s="655">
        <f>IF(ISNUMBER(WA!M60),WA!M60*1000000/BB$7,"")</f>
        <v>2.9397721608588006</v>
      </c>
      <c r="BD66" s="647">
        <v>0</v>
      </c>
      <c r="BE66" s="654">
        <v>6.6564837917964903</v>
      </c>
      <c r="BF66" s="654">
        <v>0</v>
      </c>
      <c r="BG66" s="654">
        <v>7.915110652177308</v>
      </c>
      <c r="BH66" s="654">
        <v>2.985867887289459E-2</v>
      </c>
      <c r="BI66" s="654" t="s">
        <v>855</v>
      </c>
      <c r="BJ66" s="654">
        <v>3.9214946036346063</v>
      </c>
      <c r="BK66" s="653">
        <v>8.8212354664245947</v>
      </c>
      <c r="BM66" s="647">
        <f t="shared" si="8"/>
        <v>0</v>
      </c>
      <c r="BN66" s="654">
        <f t="shared" si="9"/>
        <v>5.5177224207616025</v>
      </c>
      <c r="BO66" s="654" t="str">
        <f t="shared" si="10"/>
        <v/>
      </c>
      <c r="BP66" s="654">
        <f t="shared" si="11"/>
        <v>21.337915972745755</v>
      </c>
      <c r="BQ66" s="654">
        <f t="shared" si="12"/>
        <v>19.737318335384298</v>
      </c>
      <c r="BR66" s="654" t="str">
        <f t="shared" si="13"/>
        <v/>
      </c>
      <c r="BS66" s="654">
        <f t="shared" si="14"/>
        <v>3.1018747597523535</v>
      </c>
      <c r="BT66" s="653">
        <f t="shared" si="15"/>
        <v>1.7127179295663024</v>
      </c>
    </row>
    <row r="67" spans="2:72">
      <c r="B67" s="1034"/>
      <c r="C67" s="1038"/>
      <c r="D67" s="648" t="s">
        <v>59</v>
      </c>
      <c r="E67" s="649" t="s">
        <v>125</v>
      </c>
      <c r="F67" s="650">
        <f>IF(ISNUMBER(ACT!K61),ACT!K61,"")</f>
        <v>0</v>
      </c>
      <c r="G67" s="532" t="s">
        <v>757</v>
      </c>
      <c r="H67" s="651">
        <f>IF(ISNUMBER(ACT!L61),ACT!L61,"")</f>
        <v>0</v>
      </c>
      <c r="I67" s="534" t="s">
        <v>757</v>
      </c>
      <c r="J67" s="651" t="str">
        <f>IF(ISNUMBER(NSW!K61),NSW!K61,"")</f>
        <v/>
      </c>
      <c r="K67" s="532" t="s">
        <v>757</v>
      </c>
      <c r="L67" s="651" t="str">
        <f>IF(ISNUMBER(NSW!L61),NSW!L61,"")</f>
        <v/>
      </c>
      <c r="M67" s="534" t="s">
        <v>757</v>
      </c>
      <c r="N67" s="650" t="str">
        <f>IF(ISNUMBER(NT!K61),NT!K61,"")</f>
        <v/>
      </c>
      <c r="O67" s="532" t="s">
        <v>757</v>
      </c>
      <c r="P67" s="651" t="str">
        <f>IF(ISNUMBER(NT!L61),NT!L61,"")</f>
        <v/>
      </c>
      <c r="Q67" s="534" t="s">
        <v>757</v>
      </c>
      <c r="R67" s="650">
        <f>IF(ISNUMBER(Qld!K61),Qld!K61,"")</f>
        <v>215.35399999999998</v>
      </c>
      <c r="S67" s="532" t="s">
        <v>757</v>
      </c>
      <c r="T67" s="651">
        <f>IF(ISNUMBER(Qld!L61),Qld!L61,"")</f>
        <v>106.52000099999999</v>
      </c>
      <c r="U67" s="534" t="s">
        <v>757</v>
      </c>
      <c r="V67" s="650">
        <f>IF(ISNUMBER(SA!K61),SA!K61,"")</f>
        <v>1095.81</v>
      </c>
      <c r="W67" s="532" t="s">
        <v>757</v>
      </c>
      <c r="X67" s="651">
        <f>IF(ISNUMBER(SA!L61),SA!L61,"")</f>
        <v>2055.4</v>
      </c>
      <c r="Y67" s="534" t="s">
        <v>757</v>
      </c>
      <c r="Z67" s="650" t="str">
        <f>IF(ISNUMBER(TAS!K61),TAS!K61,"")</f>
        <v/>
      </c>
      <c r="AA67" s="532" t="s">
        <v>757</v>
      </c>
      <c r="AB67" s="651" t="str">
        <f>IF(ISNUMBER(TAS!L61),TAS!L61,"")</f>
        <v/>
      </c>
      <c r="AC67" s="534" t="s">
        <v>757</v>
      </c>
      <c r="AD67" s="650">
        <f>IF(ISNUMBER(Vic!K61),Vic!K61,"")</f>
        <v>10.56</v>
      </c>
      <c r="AE67" s="539" t="s">
        <v>757</v>
      </c>
      <c r="AF67" s="651">
        <f>IF(ISNUMBER(Vic!L61),Vic!L61,"")</f>
        <v>22.34</v>
      </c>
      <c r="AG67" s="540" t="s">
        <v>757</v>
      </c>
      <c r="AH67" s="650" t="str">
        <f>IF(ISNUMBER(WA!L61),WA!L61,"")</f>
        <v/>
      </c>
      <c r="AI67" s="531"/>
      <c r="AJ67" s="651" t="str">
        <f>IF(ISNUMBER(WA!M61),WA!M61,"")</f>
        <v/>
      </c>
      <c r="AK67" s="544"/>
      <c r="AL67" s="652"/>
      <c r="AM67" s="647">
        <f>IF(ISNUMBER(ACT!K61),ACT!K61*1000000/AM$7,"")</f>
        <v>0</v>
      </c>
      <c r="AN67" s="653">
        <f>IF(ISNUMBER(ACT!L61),ACT!L61*1000000/AN$7,"")</f>
        <v>0</v>
      </c>
      <c r="AO67" s="654" t="str">
        <f>IF(ISNUMBER(NSW!K61),NSW!K61*1000000/AO$7,"")</f>
        <v/>
      </c>
      <c r="AP67" s="654" t="str">
        <f>IF(ISNUMBER(NSW!L61),NSW!L61*1000000/AP$7,"")</f>
        <v/>
      </c>
      <c r="AQ67" s="647" t="str">
        <f>IF(ISNUMBER(NT!K61),NT!K61*1000000/AQ$7,"")</f>
        <v/>
      </c>
      <c r="AR67" s="653" t="str">
        <f>IF(ISNUMBER(NT!L61),NT!L61*1000000/AR$7,"")</f>
        <v/>
      </c>
      <c r="AS67" s="647">
        <f>IF(ISNUMBER(Qld!K61),Qld!K61*1000000/AS$7,"")</f>
        <v>45.755513931004465</v>
      </c>
      <c r="AT67" s="653">
        <f>IF(ISNUMBER(Qld!L61),Qld!L61*1000000/AT$7,"")</f>
        <v>22.476856033965966</v>
      </c>
      <c r="AU67" s="647">
        <f>IF(ISNUMBER(SA!K61),SA!K61*1000000/AU$7,"")</f>
        <v>651.4171373813009</v>
      </c>
      <c r="AV67" s="653">
        <f>IF(ISNUMBER(SA!L61),SA!L61*1000000/AV$7,"")</f>
        <v>1217.2372256419308</v>
      </c>
      <c r="AW67" s="654" t="str">
        <f>IF(ISNUMBER(TAS!K61),TAS!K61*1000000/AW$7,"")</f>
        <v/>
      </c>
      <c r="AX67" s="654" t="str">
        <f>IF(ISNUMBER(TAS!L61),TAS!L61*1000000/AX$7,"")</f>
        <v/>
      </c>
      <c r="AY67" s="647">
        <f>IF(ISNUMBER(Vic!K61),Vic!K61*1000000/AY$7,"")</f>
        <v>1.8152336262403022</v>
      </c>
      <c r="AZ67" s="653">
        <f>IF(ISNUMBER(Vic!L61),Vic!L61*1000000/AZ$7,"")</f>
        <v>3.8085015847730856</v>
      </c>
      <c r="BA67" s="647" t="str">
        <f>IF(ISNUMBER(WA!L61),WA!L61*1000000/BA$7,"")</f>
        <v/>
      </c>
      <c r="BB67" s="655" t="str">
        <f>IF(ISNUMBER(WA!M61),WA!M61*1000000/BB$7,"")</f>
        <v/>
      </c>
      <c r="BD67" s="647">
        <v>0</v>
      </c>
      <c r="BE67" s="654">
        <v>0</v>
      </c>
      <c r="BF67" s="654">
        <v>0</v>
      </c>
      <c r="BG67" s="654">
        <v>83.643466621657495</v>
      </c>
      <c r="BH67" s="654">
        <v>1447.2859953838483</v>
      </c>
      <c r="BI67" s="654">
        <v>3.8955979742890534</v>
      </c>
      <c r="BJ67" s="654">
        <v>20.83847864777043</v>
      </c>
      <c r="BK67" s="653" t="s">
        <v>855</v>
      </c>
      <c r="BM67" s="647">
        <f t="shared" si="8"/>
        <v>0</v>
      </c>
      <c r="BN67" s="654" t="str">
        <f t="shared" si="9"/>
        <v/>
      </c>
      <c r="BO67" s="654" t="str">
        <f t="shared" si="10"/>
        <v/>
      </c>
      <c r="BP67" s="654">
        <f t="shared" si="11"/>
        <v>34.07617068088291</v>
      </c>
      <c r="BQ67" s="654">
        <f t="shared" si="12"/>
        <v>934.8629928099557</v>
      </c>
      <c r="BR67" s="654" t="str">
        <f t="shared" si="13"/>
        <v/>
      </c>
      <c r="BS67" s="654">
        <f t="shared" si="14"/>
        <v>2.8159955738369873</v>
      </c>
      <c r="BT67" s="653" t="str">
        <f t="shared" si="15"/>
        <v/>
      </c>
    </row>
    <row r="68" spans="2:72">
      <c r="B68" s="1034"/>
      <c r="C68" s="1038"/>
      <c r="D68" s="648" t="s">
        <v>60</v>
      </c>
      <c r="E68" s="649" t="s">
        <v>163</v>
      </c>
      <c r="F68" s="650">
        <f>IF(ISNUMBER(ACT!K62),ACT!K62,"")</f>
        <v>0</v>
      </c>
      <c r="G68" s="532" t="s">
        <v>757</v>
      </c>
      <c r="H68" s="651">
        <f>IF(ISNUMBER(ACT!L62),ACT!L62,"")</f>
        <v>0</v>
      </c>
      <c r="I68" s="534" t="s">
        <v>757</v>
      </c>
      <c r="J68" s="651">
        <f>IF(ISNUMBER(NSW!K62),NSW!K62,"")</f>
        <v>5165.62565</v>
      </c>
      <c r="K68" s="532" t="s">
        <v>757</v>
      </c>
      <c r="L68" s="651">
        <f>IF(ISNUMBER(NSW!L62),NSW!L62,"")</f>
        <v>4991.5074999999997</v>
      </c>
      <c r="M68" s="534" t="s">
        <v>757</v>
      </c>
      <c r="N68" s="650" t="str">
        <f>IF(ISNUMBER(NT!K62),NT!K62,"")</f>
        <v/>
      </c>
      <c r="O68" s="532" t="s">
        <v>757</v>
      </c>
      <c r="P68" s="651" t="str">
        <f>IF(ISNUMBER(NT!L62),NT!L62,"")</f>
        <v/>
      </c>
      <c r="Q68" s="534" t="s">
        <v>757</v>
      </c>
      <c r="R68" s="650">
        <f>IF(ISNUMBER(Qld!K62),Qld!K62,"")</f>
        <v>162.86699999999999</v>
      </c>
      <c r="S68" s="532" t="s">
        <v>757</v>
      </c>
      <c r="T68" s="651">
        <f>IF(ISNUMBER(Qld!L62),Qld!L62,"")</f>
        <v>233.44000100000008</v>
      </c>
      <c r="U68" s="534" t="s">
        <v>757</v>
      </c>
      <c r="V68" s="650">
        <f>IF(ISNUMBER(SA!K62),SA!K62,"")</f>
        <v>0.44</v>
      </c>
      <c r="W68" s="532" t="s">
        <v>757</v>
      </c>
      <c r="X68" s="651">
        <f>IF(ISNUMBER(SA!L62),SA!L62,"")</f>
        <v>0.19</v>
      </c>
      <c r="Y68" s="534" t="s">
        <v>757</v>
      </c>
      <c r="Z68" s="650">
        <f>IF(ISNUMBER(TAS!K62),TAS!K62,"")</f>
        <v>15</v>
      </c>
      <c r="AA68" s="532" t="s">
        <v>757</v>
      </c>
      <c r="AB68" s="651">
        <f>IF(ISNUMBER(TAS!L62),TAS!L62,"")</f>
        <v>1.1671000000000001E-2</v>
      </c>
      <c r="AC68" s="534" t="s">
        <v>757</v>
      </c>
      <c r="AD68" s="650">
        <f>IF(ISNUMBER(Vic!K62),Vic!K62,"")</f>
        <v>149.15</v>
      </c>
      <c r="AE68" s="539" t="s">
        <v>757</v>
      </c>
      <c r="AF68" s="651">
        <f>IF(ISNUMBER(Vic!L62),Vic!L62,"")</f>
        <v>103.94399999999999</v>
      </c>
      <c r="AG68" s="540" t="s">
        <v>757</v>
      </c>
      <c r="AH68" s="650">
        <f>IF(ISNUMBER(WA!L62),WA!L62,"")</f>
        <v>636.60990000000004</v>
      </c>
      <c r="AI68" s="532" t="s">
        <v>757</v>
      </c>
      <c r="AJ68" s="651">
        <f>IF(ISNUMBER(WA!M62),WA!M62,"")</f>
        <v>224.90539999999999</v>
      </c>
      <c r="AK68" s="534" t="s">
        <v>757</v>
      </c>
      <c r="AL68" s="652"/>
      <c r="AM68" s="647">
        <f>IF(ISNUMBER(ACT!K62),ACT!K62*1000000/AM$7,"")</f>
        <v>0</v>
      </c>
      <c r="AN68" s="653">
        <f>IF(ISNUMBER(ACT!L62),ACT!L62*1000000/AN$7,"")</f>
        <v>0</v>
      </c>
      <c r="AO68" s="654">
        <f>IF(ISNUMBER(NSW!K62),NSW!K62*1000000/AO$7,"")</f>
        <v>688.95484404631725</v>
      </c>
      <c r="AP68" s="654">
        <f>IF(ISNUMBER(NSW!L62),NSW!L62*1000000/AP$7,"")</f>
        <v>661.62588866701435</v>
      </c>
      <c r="AQ68" s="647" t="str">
        <f>IF(ISNUMBER(NT!K62),NT!K62*1000000/AQ$7,"")</f>
        <v/>
      </c>
      <c r="AR68" s="653" t="str">
        <f>IF(ISNUMBER(NT!L62),NT!L62*1000000/AR$7,"")</f>
        <v/>
      </c>
      <c r="AS68" s="647">
        <f>IF(ISNUMBER(Qld!K62),Qld!K62*1000000/AS$7,"")</f>
        <v>34.603783943650484</v>
      </c>
      <c r="AT68" s="653">
        <f>IF(ISNUMBER(Qld!L62),Qld!L62*1000000/AT$7,"")</f>
        <v>49.258329382158685</v>
      </c>
      <c r="AU68" s="647">
        <f>IF(ISNUMBER(SA!K62),SA!K62*1000000/AU$7,"")</f>
        <v>0.26156317285640063</v>
      </c>
      <c r="AV68" s="653">
        <f>IF(ISNUMBER(SA!L62),SA!L62*1000000/AV$7,"")</f>
        <v>0.11252071269434992</v>
      </c>
      <c r="AW68" s="654">
        <f>IF(ISNUMBER(TAS!K62),TAS!K62*1000000/AW$7,"")</f>
        <v>29.152592442870635</v>
      </c>
      <c r="AX68" s="654">
        <f>IF(ISNUMBER(TAS!L62),TAS!L62*1000000/AX$7,"")</f>
        <v>2.2662840010563436E-2</v>
      </c>
      <c r="AY68" s="647">
        <f>IF(ISNUMBER(Vic!K62),Vic!K62*1000000/AY$7,"")</f>
        <v>25.638455999407299</v>
      </c>
      <c r="AZ68" s="653">
        <f>IF(ISNUMBER(Vic!L62),Vic!L62*1000000/AZ$7,"")</f>
        <v>17.720272548238743</v>
      </c>
      <c r="BA68" s="647">
        <f>IF(ISNUMBER(WA!L62),WA!L62*1000000/BA$7,"")</f>
        <v>249.02272032945905</v>
      </c>
      <c r="BB68" s="655">
        <f>IF(ISNUMBER(WA!M62),WA!M62*1000000/BB$7,"")</f>
        <v>87.375529766989942</v>
      </c>
      <c r="BD68" s="647">
        <v>0</v>
      </c>
      <c r="BE68" s="654">
        <v>1299.7681770108793</v>
      </c>
      <c r="BF68" s="654">
        <v>114.34060689269536</v>
      </c>
      <c r="BG68" s="654">
        <v>90.702889635761579</v>
      </c>
      <c r="BH68" s="654">
        <v>4.3354801723442948</v>
      </c>
      <c r="BI68" s="654">
        <v>8.3755356447214648</v>
      </c>
      <c r="BJ68" s="654">
        <v>80.694928399765544</v>
      </c>
      <c r="BK68" s="653">
        <v>66.767062669295768</v>
      </c>
      <c r="BM68" s="647">
        <f t="shared" si="8"/>
        <v>0</v>
      </c>
      <c r="BN68" s="654">
        <f t="shared" si="9"/>
        <v>675.24809407956718</v>
      </c>
      <c r="BO68" s="654" t="str">
        <f t="shared" si="10"/>
        <v/>
      </c>
      <c r="BP68" s="654">
        <f t="shared" si="11"/>
        <v>41.956246749189404</v>
      </c>
      <c r="BQ68" s="654">
        <f t="shared" si="12"/>
        <v>0.18690080491946651</v>
      </c>
      <c r="BR68" s="654">
        <f t="shared" si="13"/>
        <v>14.581261328116653</v>
      </c>
      <c r="BS68" s="654">
        <f t="shared" si="14"/>
        <v>21.662966071875331</v>
      </c>
      <c r="BT68" s="653">
        <f t="shared" si="15"/>
        <v>167.92223749922522</v>
      </c>
    </row>
    <row r="69" spans="2:72">
      <c r="B69" s="1035"/>
      <c r="C69" s="1037"/>
      <c r="D69" s="667" t="s">
        <v>61</v>
      </c>
      <c r="E69" s="668" t="s">
        <v>126</v>
      </c>
      <c r="F69" s="656">
        <f>IF(ISNUMBER(ACT!K63),ACT!K63,"")</f>
        <v>0</v>
      </c>
      <c r="G69" s="535" t="s">
        <v>757</v>
      </c>
      <c r="H69" s="657">
        <f>IF(ISNUMBER(ACT!L63),ACT!L63,"")</f>
        <v>0</v>
      </c>
      <c r="I69" s="536" t="s">
        <v>757</v>
      </c>
      <c r="J69" s="657" t="str">
        <f>IF(ISNUMBER(NSW!K63),NSW!K63,"")</f>
        <v/>
      </c>
      <c r="K69" s="535" t="s">
        <v>757</v>
      </c>
      <c r="L69" s="657" t="str">
        <f>IF(ISNUMBER(NSW!L63),NSW!L63,"")</f>
        <v/>
      </c>
      <c r="M69" s="536" t="s">
        <v>757</v>
      </c>
      <c r="N69" s="656" t="str">
        <f>IF(ISNUMBER(NT!K63),NT!K63,"")</f>
        <v/>
      </c>
      <c r="O69" s="535" t="s">
        <v>757</v>
      </c>
      <c r="P69" s="657" t="str">
        <f>IF(ISNUMBER(NT!L63),NT!L63,"")</f>
        <v/>
      </c>
      <c r="Q69" s="536" t="s">
        <v>757</v>
      </c>
      <c r="R69" s="656">
        <f>IF(ISNUMBER(Qld!K63),Qld!K63,"")</f>
        <v>3.65</v>
      </c>
      <c r="S69" s="535" t="s">
        <v>757</v>
      </c>
      <c r="T69" s="657">
        <f>IF(ISNUMBER(Qld!L63),Qld!L63,"")</f>
        <v>9.9999999999999995E-7</v>
      </c>
      <c r="U69" s="536" t="s">
        <v>757</v>
      </c>
      <c r="V69" s="656">
        <f>IF(ISNUMBER(SA!K63),SA!K63,"")</f>
        <v>136</v>
      </c>
      <c r="W69" s="535" t="s">
        <v>757</v>
      </c>
      <c r="X69" s="657">
        <f>IF(ISNUMBER(SA!L63),SA!L63,"")</f>
        <v>108.8</v>
      </c>
      <c r="Y69" s="536" t="s">
        <v>757</v>
      </c>
      <c r="Z69" s="656" t="str">
        <f>IF(ISNUMBER(TAS!K63),TAS!K63,"")</f>
        <v/>
      </c>
      <c r="AA69" s="535" t="s">
        <v>757</v>
      </c>
      <c r="AB69" s="657" t="str">
        <f>IF(ISNUMBER(TAS!L63),TAS!L63,"")</f>
        <v/>
      </c>
      <c r="AC69" s="536" t="s">
        <v>757</v>
      </c>
      <c r="AD69" s="656">
        <f>IF(ISNUMBER(Vic!K63),Vic!K63,"")</f>
        <v>0</v>
      </c>
      <c r="AE69" s="537" t="s">
        <v>757</v>
      </c>
      <c r="AF69" s="657">
        <f>IF(ISNUMBER(Vic!L63),Vic!L63,"")</f>
        <v>0.01</v>
      </c>
      <c r="AG69" s="538" t="s">
        <v>757</v>
      </c>
      <c r="AH69" s="656">
        <f>IF(ISNUMBER(WA!L63),WA!L63,"")</f>
        <v>2.867</v>
      </c>
      <c r="AI69" s="535" t="s">
        <v>757</v>
      </c>
      <c r="AJ69" s="657">
        <f>IF(ISNUMBER(WA!M63),WA!M63,"")</f>
        <v>6.5000000000000002E-2</v>
      </c>
      <c r="AK69" s="536" t="s">
        <v>757</v>
      </c>
      <c r="AL69" s="652"/>
      <c r="AM69" s="669">
        <f>IF(ISNUMBER(ACT!K63),ACT!K63*1000000/AM$7,"")</f>
        <v>0</v>
      </c>
      <c r="AN69" s="670">
        <f>IF(ISNUMBER(ACT!L63),ACT!L63*1000000/AN$7,"")</f>
        <v>0</v>
      </c>
      <c r="AO69" s="671" t="str">
        <f>IF(ISNUMBER(NSW!K63),NSW!K63*1000000/AO$7,"")</f>
        <v/>
      </c>
      <c r="AP69" s="671" t="str">
        <f>IF(ISNUMBER(NSW!L63),NSW!L63*1000000/AP$7,"")</f>
        <v/>
      </c>
      <c r="AQ69" s="669" t="str">
        <f>IF(ISNUMBER(NT!K63),NT!K63*1000000/AQ$7,"")</f>
        <v/>
      </c>
      <c r="AR69" s="670" t="str">
        <f>IF(ISNUMBER(NT!L63),NT!L63*1000000/AR$7,"")</f>
        <v/>
      </c>
      <c r="AS69" s="669">
        <f>IF(ISNUMBER(Qld!K63),Qld!K63*1000000/AS$7,"")</f>
        <v>0.77550278076175194</v>
      </c>
      <c r="AT69" s="670">
        <f>IF(ISNUMBER(Qld!L63),Qld!L63*1000000/AT$7,"")</f>
        <v>2.1101066300183346E-7</v>
      </c>
      <c r="AU69" s="669">
        <f>IF(ISNUMBER(SA!K63),SA!K63*1000000/AU$7,"")</f>
        <v>80.84679888288747</v>
      </c>
      <c r="AV69" s="670">
        <f>IF(ISNUMBER(SA!L63),SA!L63*1000000/AV$7,"")</f>
        <v>64.432913374448802</v>
      </c>
      <c r="AW69" s="671" t="str">
        <f>IF(ISNUMBER(TAS!K63),TAS!K63*1000000/AW$7,"")</f>
        <v/>
      </c>
      <c r="AX69" s="671" t="str">
        <f>IF(ISNUMBER(TAS!L63),TAS!L63*1000000/AX$7,"")</f>
        <v/>
      </c>
      <c r="AY69" s="669">
        <f>IF(ISNUMBER(Vic!K63),Vic!K63*1000000/AY$7,"")</f>
        <v>0</v>
      </c>
      <c r="AZ69" s="670">
        <f>IF(ISNUMBER(Vic!L63),Vic!L63*1000000/AZ$7,"")</f>
        <v>1.7047903244284178E-3</v>
      </c>
      <c r="BA69" s="669">
        <f>IF(ISNUMBER(WA!L63),WA!L63*1000000/BA$7,"")</f>
        <v>1.1214845059502832</v>
      </c>
      <c r="BB69" s="672">
        <f>IF(ISNUMBER(WA!M63),WA!M63*1000000/BB$7,"")</f>
        <v>2.5252436957291135E-2</v>
      </c>
      <c r="BD69" s="669">
        <v>0</v>
      </c>
      <c r="BE69" s="671">
        <v>4.6313879039440738E-2</v>
      </c>
      <c r="BF69" s="671">
        <v>0</v>
      </c>
      <c r="BG69" s="671">
        <v>1.0696095475915282</v>
      </c>
      <c r="BH69" s="671">
        <v>0.11943471549157836</v>
      </c>
      <c r="BI69" s="671" t="s">
        <v>855</v>
      </c>
      <c r="BJ69" s="671">
        <v>1.8442823324452615</v>
      </c>
      <c r="BK69" s="670">
        <v>9.4792067786418741</v>
      </c>
      <c r="BM69" s="669">
        <f t="shared" si="8"/>
        <v>0</v>
      </c>
      <c r="BN69" s="671" t="str">
        <f t="shared" si="9"/>
        <v/>
      </c>
      <c r="BO69" s="671" t="str">
        <f t="shared" si="10"/>
        <v/>
      </c>
      <c r="BP69" s="671">
        <f t="shared" si="11"/>
        <v>0.38641846397961577</v>
      </c>
      <c r="BQ69" s="671">
        <f t="shared" si="12"/>
        <v>72.624312768706986</v>
      </c>
      <c r="BR69" s="671" t="str">
        <f t="shared" si="13"/>
        <v/>
      </c>
      <c r="BS69" s="671">
        <f t="shared" si="14"/>
        <v>8.5592570633343087E-4</v>
      </c>
      <c r="BT69" s="670">
        <f t="shared" si="15"/>
        <v>0.57149072146220536</v>
      </c>
    </row>
    <row r="70" spans="2:72">
      <c r="B70" s="1033" t="s">
        <v>62</v>
      </c>
      <c r="C70" s="1036" t="s">
        <v>164</v>
      </c>
      <c r="D70" s="648" t="s">
        <v>63</v>
      </c>
      <c r="E70" s="649" t="s">
        <v>165</v>
      </c>
      <c r="F70" s="641">
        <f>IF(ISNUMBER(ACT!K64),ACT!K64,"")</f>
        <v>1.66</v>
      </c>
      <c r="G70" s="529" t="s">
        <v>757</v>
      </c>
      <c r="H70" s="642">
        <f>IF(ISNUMBER(ACT!L64),ACT!L64,"")</f>
        <v>1.59</v>
      </c>
      <c r="I70" s="530" t="s">
        <v>757</v>
      </c>
      <c r="J70" s="642">
        <f>IF(ISNUMBER(NSW!K64),NSW!K64,"")</f>
        <v>6836.7856680000023</v>
      </c>
      <c r="K70" s="529" t="s">
        <v>757</v>
      </c>
      <c r="L70" s="642">
        <f>IF(ISNUMBER(NSW!L64),NSW!L64,"")</f>
        <v>6626.8004310000015</v>
      </c>
      <c r="M70" s="530" t="s">
        <v>757</v>
      </c>
      <c r="N70" s="641">
        <f>IF(ISNUMBER(NT!K64),NT!K64,"")</f>
        <v>4</v>
      </c>
      <c r="O70" s="529" t="s">
        <v>757</v>
      </c>
      <c r="P70" s="642">
        <f>IF(ISNUMBER(NT!L64),NT!L64,"")</f>
        <v>10.56</v>
      </c>
      <c r="Q70" s="530" t="s">
        <v>757</v>
      </c>
      <c r="R70" s="641" t="str">
        <f>IF(ISNUMBER(Qld!K64),Qld!K64,"")</f>
        <v/>
      </c>
      <c r="S70" s="529" t="s">
        <v>757</v>
      </c>
      <c r="T70" s="642" t="str">
        <f>IF(ISNUMBER(Qld!L64),Qld!L64,"")</f>
        <v/>
      </c>
      <c r="U70" s="530" t="s">
        <v>757</v>
      </c>
      <c r="V70" s="641">
        <f>IF(ISNUMBER(SA!K64),SA!K64,"")</f>
        <v>76.686999999999998</v>
      </c>
      <c r="W70" s="529" t="s">
        <v>757</v>
      </c>
      <c r="X70" s="642">
        <f>IF(ISNUMBER(SA!L64),SA!L64,"")</f>
        <v>48.127000000000002</v>
      </c>
      <c r="Y70" s="530" t="s">
        <v>757</v>
      </c>
      <c r="Z70" s="641" t="str">
        <f>IF(ISNUMBER(TAS!K64),TAS!K64,"")</f>
        <v/>
      </c>
      <c r="AA70" s="529" t="s">
        <v>757</v>
      </c>
      <c r="AB70" s="642">
        <f>IF(ISNUMBER(TAS!L64),TAS!L64,"")</f>
        <v>60.683999999999997</v>
      </c>
      <c r="AC70" s="530" t="s">
        <v>757</v>
      </c>
      <c r="AD70" s="641">
        <f>IF(ISNUMBER(Vic!K64),Vic!K64,"")</f>
        <v>4275.378999999999</v>
      </c>
      <c r="AE70" s="541" t="s">
        <v>757</v>
      </c>
      <c r="AF70" s="642">
        <f>IF(ISNUMBER(Vic!L64),Vic!L64,"")</f>
        <v>5042.3990000000049</v>
      </c>
      <c r="AG70" s="542" t="s">
        <v>757</v>
      </c>
      <c r="AH70" s="641">
        <f>IF(ISNUMBER(WA!L64),WA!L64,"")</f>
        <v>1683.385</v>
      </c>
      <c r="AI70" s="529" t="s">
        <v>757</v>
      </c>
      <c r="AJ70" s="642">
        <f>IF(ISNUMBER(WA!M64),WA!M64,"")</f>
        <v>1285.3754999999999</v>
      </c>
      <c r="AK70" s="530" t="s">
        <v>757</v>
      </c>
      <c r="AL70" s="652"/>
      <c r="AM70" s="647">
        <f>IF(ISNUMBER(ACT!K64),ACT!K64*1000000/AM$7,"")</f>
        <v>4.3123379626021583</v>
      </c>
      <c r="AN70" s="653">
        <f>IF(ISNUMBER(ACT!L64),ACT!L64*1000000/AN$7,"")</f>
        <v>4.1123525760397266</v>
      </c>
      <c r="AO70" s="654">
        <f>IF(ISNUMBER(NSW!K64),NSW!K64*1000000/AO$7,"")</f>
        <v>911.84242196780906</v>
      </c>
      <c r="AP70" s="654">
        <f>IF(ISNUMBER(NSW!L64),NSW!L64*1000000/AP$7,"")</f>
        <v>878.38448087663505</v>
      </c>
      <c r="AQ70" s="647">
        <f>IF(ISNUMBER(NT!K64),NT!K64*1000000/AQ$7,"")</f>
        <v>16.407227383662505</v>
      </c>
      <c r="AR70" s="653">
        <f>IF(ISNUMBER(NT!L64),NT!L64*1000000/AR$7,"")</f>
        <v>43.11928853173923</v>
      </c>
      <c r="AS70" s="654" t="str">
        <f>IF(ISNUMBER(Qld!K64),Qld!K64*1000000/AS$7,"")</f>
        <v/>
      </c>
      <c r="AT70" s="654" t="str">
        <f>IF(ISNUMBER(Qld!L64),Qld!L64*1000000/AT$7,"")</f>
        <v/>
      </c>
      <c r="AU70" s="647">
        <f>IF(ISNUMBER(SA!K64),SA!K64*1000000/AU$7,"")</f>
        <v>45.587488720088167</v>
      </c>
      <c r="AV70" s="653">
        <f>IF(ISNUMBER(SA!L64),SA!L64*1000000/AV$7,"")</f>
        <v>28.501496525478835</v>
      </c>
      <c r="AW70" s="654" t="str">
        <f>IF(ISNUMBER(TAS!K64),TAS!K64*1000000/AW$7,"")</f>
        <v/>
      </c>
      <c r="AX70" s="654">
        <f>IF(ISNUMBER(TAS!L64),TAS!L64*1000000/AX$7,"")</f>
        <v>117.83667065384556</v>
      </c>
      <c r="AY70" s="647">
        <f>IF(ISNUMBER(Vic!K64),Vic!K64*1000000/AY$7,"")</f>
        <v>734.92535281454877</v>
      </c>
      <c r="AZ70" s="653">
        <f>IF(ISNUMBER(Vic!L64),Vic!L64*1000000/AZ$7,"")</f>
        <v>859.62330271075382</v>
      </c>
      <c r="BA70" s="647">
        <f>IF(ISNUMBER(WA!L64),WA!L64*1000000/BA$7,"")</f>
        <v>658.48977853125825</v>
      </c>
      <c r="BB70" s="655">
        <f>IF(ISNUMBER(WA!M64),WA!M64*1000000/BB$7,"")</f>
        <v>499.36713507994716</v>
      </c>
      <c r="BD70" s="647">
        <v>8.3884946851778803</v>
      </c>
      <c r="BE70" s="654" t="s">
        <v>855</v>
      </c>
      <c r="BF70" s="654">
        <v>286.69008078530862</v>
      </c>
      <c r="BG70" s="654">
        <v>0</v>
      </c>
      <c r="BH70" s="654">
        <v>88.441406821513795</v>
      </c>
      <c r="BI70" s="654">
        <v>13.634592910011687</v>
      </c>
      <c r="BJ70" s="654">
        <v>4133.7353784030602</v>
      </c>
      <c r="BK70" s="653">
        <v>1388.3368139549143</v>
      </c>
      <c r="BM70" s="647">
        <f t="shared" si="8"/>
        <v>4.2121252180584827</v>
      </c>
      <c r="BN70" s="654">
        <f t="shared" si="9"/>
        <v>895.06169886390705</v>
      </c>
      <c r="BO70" s="654">
        <f t="shared" si="10"/>
        <v>29.793512135331298</v>
      </c>
      <c r="BP70" s="654" t="str">
        <f t="shared" si="11"/>
        <v/>
      </c>
      <c r="BQ70" s="654">
        <f t="shared" si="12"/>
        <v>37.028312801933801</v>
      </c>
      <c r="BR70" s="654">
        <f t="shared" si="13"/>
        <v>58.944088398648688</v>
      </c>
      <c r="BS70" s="654">
        <f t="shared" si="14"/>
        <v>797.53257161081058</v>
      </c>
      <c r="BT70" s="653">
        <f t="shared" si="15"/>
        <v>578.65589358577677</v>
      </c>
    </row>
    <row r="71" spans="2:72">
      <c r="B71" s="1034"/>
      <c r="C71" s="1038"/>
      <c r="D71" s="648" t="s">
        <v>64</v>
      </c>
      <c r="E71" s="649" t="s">
        <v>127</v>
      </c>
      <c r="F71" s="650">
        <f>IF(ISNUMBER(ACT!K65),ACT!K65,"")</f>
        <v>1908.36</v>
      </c>
      <c r="G71" s="532" t="s">
        <v>757</v>
      </c>
      <c r="H71" s="651">
        <f>IF(ISNUMBER(ACT!L65),ACT!L65,"")</f>
        <v>439.63</v>
      </c>
      <c r="I71" s="534" t="s">
        <v>757</v>
      </c>
      <c r="J71" s="651"/>
      <c r="K71" s="531"/>
      <c r="L71" s="651"/>
      <c r="M71" s="544"/>
      <c r="N71" s="650"/>
      <c r="O71" s="531"/>
      <c r="P71" s="651" t="str">
        <f>IF(ISNUMBER(NT!L65),NT!L65,"")</f>
        <v/>
      </c>
      <c r="Q71" s="544"/>
      <c r="R71" s="650">
        <f>IF(ISNUMBER(Qld!K65),Qld!K65,"")</f>
        <v>163384.5</v>
      </c>
      <c r="S71" s="531"/>
      <c r="T71" s="651">
        <f>IF(ISNUMBER(Qld!L65),Qld!L65,"")</f>
        <v>161200.5</v>
      </c>
      <c r="U71" s="544"/>
      <c r="V71" s="650">
        <f>IF(ISNUMBER(SA!K65),SA!K65,"")</f>
        <v>63798.5</v>
      </c>
      <c r="W71" s="532" t="s">
        <v>757</v>
      </c>
      <c r="X71" s="651">
        <f>IF(ISNUMBER(SA!L65),SA!L65,"")</f>
        <v>71211.5</v>
      </c>
      <c r="Y71" s="534" t="s">
        <v>757</v>
      </c>
      <c r="Z71" s="650" t="str">
        <f>IF(ISNUMBER(TAS!K65),TAS!K65,"")</f>
        <v/>
      </c>
      <c r="AA71" s="532" t="s">
        <v>757</v>
      </c>
      <c r="AB71" s="651" t="str">
        <f>IF(ISNUMBER(TAS!L65),TAS!L65,"")</f>
        <v/>
      </c>
      <c r="AC71" s="534" t="s">
        <v>757</v>
      </c>
      <c r="AD71" s="650">
        <f>IF(ISNUMBER(Vic!K65),Vic!K65,"")</f>
        <v>138393.86700000009</v>
      </c>
      <c r="AE71" s="539" t="s">
        <v>757</v>
      </c>
      <c r="AF71" s="651">
        <f>IF(ISNUMBER(Vic!L65),Vic!L65,"")</f>
        <v>188980.27599999987</v>
      </c>
      <c r="AG71" s="540" t="s">
        <v>757</v>
      </c>
      <c r="AH71" s="650">
        <f>IF(ISNUMBER(WA!L65),WA!L65,"")</f>
        <v>1377.2579999999998</v>
      </c>
      <c r="AI71" s="532" t="s">
        <v>757</v>
      </c>
      <c r="AJ71" s="651">
        <f>IF(ISNUMBER(WA!M65),WA!M65,"")</f>
        <v>5376.3610000000008</v>
      </c>
      <c r="AK71" s="534" t="s">
        <v>757</v>
      </c>
      <c r="AL71" s="652"/>
      <c r="AM71" s="647">
        <f>IF(ISNUMBER(ACT!K65),ACT!K65*1000000/AM$7,"")</f>
        <v>4957.5260688623221</v>
      </c>
      <c r="AN71" s="653">
        <f>IF(ISNUMBER(ACT!L65),ACT!L65*1000000/AN$7,"")</f>
        <v>1137.0525553486448</v>
      </c>
      <c r="AO71" s="654">
        <f>IF(ISNUMBER(NSW!K65),NSW!K65*1000000/AO$7,"")</f>
        <v>22820.115471651508</v>
      </c>
      <c r="AP71" s="654">
        <f>IF(ISNUMBER(NSW!L65),NSW!L65*1000000/AP$7,"")</f>
        <v>22679.358801108916</v>
      </c>
      <c r="AQ71" s="647">
        <f>IF(ISNUMBER(NT!K65),NT!K65*1000000/AQ$7,"")</f>
        <v>11.485059168563753</v>
      </c>
      <c r="AR71" s="653" t="str">
        <f>IF(ISNUMBER(NT!L65),NT!L65*1000000/AR$7,"")</f>
        <v/>
      </c>
      <c r="AS71" s="654">
        <f>IF(ISNUMBER(Qld!K65),Qld!K65*1000000/AS$7,"")</f>
        <v>34713.735365306427</v>
      </c>
      <c r="AT71" s="654">
        <f>IF(ISNUMBER(Qld!L65),Qld!L65*1000000/AT$7,"")</f>
        <v>34015.024381227056</v>
      </c>
      <c r="AU71" s="647">
        <f>IF(ISNUMBER(SA!K65),SA!K65*1000000/AU$7,"")</f>
        <v>37925.768371543352</v>
      </c>
      <c r="AV71" s="653">
        <f>IF(ISNUMBER(SA!L65),SA!L65*1000000/AV$7,"")</f>
        <v>42172.46701070368</v>
      </c>
      <c r="AW71" s="654" t="str">
        <f>IF(ISNUMBER(TAS!K65),TAS!K65*1000000/AW$7,"")</f>
        <v/>
      </c>
      <c r="AX71" s="654" t="str">
        <f>IF(ISNUMBER(TAS!L65),TAS!L65*1000000/AX$7,"")</f>
        <v/>
      </c>
      <c r="AY71" s="647">
        <f>IF(ISNUMBER(Vic!K65),Vic!K65*1000000/AY$7,"")</f>
        <v>23789.507674604949</v>
      </c>
      <c r="AZ71" s="653">
        <f>IF(ISNUMBER(Vic!L65),Vic!L65*1000000/AZ$7,"")</f>
        <v>32217.174603261174</v>
      </c>
      <c r="BA71" s="647">
        <f>IF(ISNUMBER(WA!L65),WA!L65*1000000/BA$7,"")</f>
        <v>538.7420675605423</v>
      </c>
      <c r="BB71" s="655">
        <f>IF(ISNUMBER(WA!M65),WA!M65*1000000/BB$7,"")</f>
        <v>2088.7110340329041</v>
      </c>
      <c r="BD71" s="647">
        <v>6272.8875137377318</v>
      </c>
      <c r="BE71" s="654" t="s">
        <v>855</v>
      </c>
      <c r="BF71" s="654" t="s">
        <v>855</v>
      </c>
      <c r="BG71" s="654" t="s">
        <v>855</v>
      </c>
      <c r="BH71" s="654">
        <v>113460.54922053921</v>
      </c>
      <c r="BI71" s="654">
        <v>257.88858589793529</v>
      </c>
      <c r="BJ71" s="654">
        <v>55877.338108738346</v>
      </c>
      <c r="BK71" s="653">
        <v>1293.3107062971244</v>
      </c>
      <c r="BM71" s="647">
        <f t="shared" si="8"/>
        <v>3043.085504845888</v>
      </c>
      <c r="BN71" s="654">
        <f t="shared" si="9"/>
        <v>22749.51941474036</v>
      </c>
      <c r="BO71" s="654">
        <f t="shared" si="10"/>
        <v>5.7295215644867881</v>
      </c>
      <c r="BP71" s="654">
        <f t="shared" si="11"/>
        <v>34363.178840450615</v>
      </c>
      <c r="BQ71" s="654">
        <f t="shared" si="12"/>
        <v>40053.139162185995</v>
      </c>
      <c r="BR71" s="654" t="str">
        <f t="shared" si="13"/>
        <v/>
      </c>
      <c r="BS71" s="654">
        <f t="shared" si="14"/>
        <v>28020.79445825766</v>
      </c>
      <c r="BT71" s="653">
        <f t="shared" si="15"/>
        <v>1316.3815125480419</v>
      </c>
    </row>
    <row r="72" spans="2:72">
      <c r="B72" s="1034"/>
      <c r="C72" s="1038"/>
      <c r="D72" s="648" t="s">
        <v>65</v>
      </c>
      <c r="E72" s="649" t="s">
        <v>166</v>
      </c>
      <c r="F72" s="650">
        <f>IF(ISNUMBER(ACT!K66),ACT!K66,"")</f>
        <v>0</v>
      </c>
      <c r="G72" s="532" t="s">
        <v>757</v>
      </c>
      <c r="H72" s="651">
        <f>IF(ISNUMBER(ACT!L66),ACT!L66,"")</f>
        <v>0</v>
      </c>
      <c r="I72" s="534" t="s">
        <v>757</v>
      </c>
      <c r="J72" s="651">
        <f>IF(ISNUMBER(NSW!K66),NSW!K66,"")</f>
        <v>10.01</v>
      </c>
      <c r="K72" s="532" t="s">
        <v>757</v>
      </c>
      <c r="L72" s="651">
        <f>IF(ISNUMBER(NSW!L66),NSW!L66,"")</f>
        <v>2.1800000000000002</v>
      </c>
      <c r="M72" s="534" t="s">
        <v>757</v>
      </c>
      <c r="N72" s="650" t="str">
        <f>IF(ISNUMBER(NT!K66),NT!K66,"")</f>
        <v/>
      </c>
      <c r="O72" s="532" t="s">
        <v>757</v>
      </c>
      <c r="P72" s="651" t="str">
        <f>IF(ISNUMBER(NT!L66),NT!L66,"")</f>
        <v/>
      </c>
      <c r="Q72" s="534" t="s">
        <v>757</v>
      </c>
      <c r="R72" s="650">
        <f>IF(ISNUMBER(Qld!K66),Qld!K66,"")</f>
        <v>366.5859999999999</v>
      </c>
      <c r="S72" s="532" t="s">
        <v>757</v>
      </c>
      <c r="T72" s="651">
        <f>IF(ISNUMBER(Qld!L66),Qld!L66,"")</f>
        <v>551.72000100000002</v>
      </c>
      <c r="U72" s="534" t="s">
        <v>757</v>
      </c>
      <c r="V72" s="650">
        <f>IF(ISNUMBER(SA!K66),SA!K66,"")</f>
        <v>0</v>
      </c>
      <c r="W72" s="532" t="s">
        <v>757</v>
      </c>
      <c r="X72" s="651">
        <f>IF(ISNUMBER(SA!L66),SA!L66,"")</f>
        <v>0</v>
      </c>
      <c r="Y72" s="534" t="s">
        <v>757</v>
      </c>
      <c r="Z72" s="650" t="str">
        <f>IF(ISNUMBER(TAS!K66),TAS!K66,"")</f>
        <v/>
      </c>
      <c r="AA72" s="532" t="s">
        <v>757</v>
      </c>
      <c r="AB72" s="651" t="str">
        <f>IF(ISNUMBER(TAS!L66),TAS!L66,"")</f>
        <v/>
      </c>
      <c r="AC72" s="534" t="s">
        <v>757</v>
      </c>
      <c r="AD72" s="650">
        <f>IF(ISNUMBER(Vic!K66),Vic!K66,"")</f>
        <v>33.82</v>
      </c>
      <c r="AE72" s="539" t="s">
        <v>757</v>
      </c>
      <c r="AF72" s="651">
        <f>IF(ISNUMBER(Vic!L66),Vic!L66,"")</f>
        <v>46.98</v>
      </c>
      <c r="AG72" s="540" t="s">
        <v>757</v>
      </c>
      <c r="AH72" s="650">
        <f>IF(ISNUMBER(WA!L66),WA!L66,"")</f>
        <v>6.7</v>
      </c>
      <c r="AI72" s="532" t="s">
        <v>757</v>
      </c>
      <c r="AJ72" s="651">
        <f>IF(ISNUMBER(WA!M66),WA!M66,"")</f>
        <v>63.002000000000002</v>
      </c>
      <c r="AK72" s="534" t="s">
        <v>757</v>
      </c>
      <c r="AL72" s="652"/>
      <c r="AM72" s="647">
        <f>IF(ISNUMBER(ACT!K66),ACT!K66*1000000/AM$7,"")</f>
        <v>0</v>
      </c>
      <c r="AN72" s="653">
        <f>IF(ISNUMBER(ACT!L66),ACT!L66*1000000/AN$7,"")</f>
        <v>0</v>
      </c>
      <c r="AO72" s="654">
        <f>IF(ISNUMBER(NSW!K66),NSW!K66*1000000/AO$7,"")</f>
        <v>1.3350634475232706</v>
      </c>
      <c r="AP72" s="654">
        <f>IF(ISNUMBER(NSW!L66),NSW!L66*1000000/AP$7,"")</f>
        <v>0.28895968548461387</v>
      </c>
      <c r="AQ72" s="647" t="str">
        <f>IF(ISNUMBER(NT!K66),NT!K66*1000000/AQ$7,"")</f>
        <v/>
      </c>
      <c r="AR72" s="653" t="str">
        <f>IF(ISNUMBER(NT!L66),NT!L66*1000000/AR$7,"")</f>
        <v/>
      </c>
      <c r="AS72" s="654">
        <f>IF(ISNUMBER(Qld!K66),Qld!K66*1000000/AS$7,"")</f>
        <v>77.887249969404792</v>
      </c>
      <c r="AT72" s="654">
        <f>IF(ISNUMBER(Qld!L66),Qld!L66*1000000/AT$7,"")</f>
        <v>116.41880320238222</v>
      </c>
      <c r="AU72" s="647">
        <f>IF(ISNUMBER(SA!K66),SA!K66*1000000/AU$7,"")</f>
        <v>0</v>
      </c>
      <c r="AV72" s="653">
        <f>IF(ISNUMBER(SA!L66),SA!L66*1000000/AV$7,"")</f>
        <v>0</v>
      </c>
      <c r="AW72" s="654" t="str">
        <f>IF(ISNUMBER(TAS!K66),TAS!K66*1000000/AW$7,"")</f>
        <v/>
      </c>
      <c r="AX72" s="654" t="str">
        <f>IF(ISNUMBER(TAS!L66),TAS!L66*1000000/AX$7,"")</f>
        <v/>
      </c>
      <c r="AY72" s="647">
        <f>IF(ISNUMBER(Vic!K66),Vic!K66*1000000/AY$7,"")</f>
        <v>5.8135607234324826</v>
      </c>
      <c r="AZ72" s="653">
        <f>IF(ISNUMBER(Vic!L66),Vic!L66*1000000/AZ$7,"")</f>
        <v>8.009104944164708</v>
      </c>
      <c r="BA72" s="647">
        <f>IF(ISNUMBER(WA!L66),WA!L66*1000000/BA$7,"")</f>
        <v>2.6208392709685722</v>
      </c>
      <c r="BB72" s="655">
        <f>IF(ISNUMBER(WA!M66),WA!M66*1000000/BB$7,"")</f>
        <v>24.476215895127019</v>
      </c>
      <c r="BD72" s="647">
        <v>0</v>
      </c>
      <c r="BE72" s="654">
        <v>34.528525817586868</v>
      </c>
      <c r="BF72" s="654">
        <v>0</v>
      </c>
      <c r="BG72" s="654">
        <v>264.40748016462572</v>
      </c>
      <c r="BH72" s="654">
        <v>1.0689407036496263</v>
      </c>
      <c r="BI72" s="654" t="s">
        <v>855</v>
      </c>
      <c r="BJ72" s="654">
        <v>35.231802260386971</v>
      </c>
      <c r="BK72" s="653">
        <v>11.156627999697271</v>
      </c>
      <c r="BM72" s="647">
        <f t="shared" si="8"/>
        <v>0</v>
      </c>
      <c r="BN72" s="654">
        <f t="shared" si="9"/>
        <v>0.81039345898797477</v>
      </c>
      <c r="BO72" s="654" t="str">
        <f t="shared" si="10"/>
        <v/>
      </c>
      <c r="BP72" s="654">
        <f t="shared" si="11"/>
        <v>97.219259493266833</v>
      </c>
      <c r="BQ72" s="654">
        <f t="shared" si="12"/>
        <v>0</v>
      </c>
      <c r="BR72" s="654" t="str">
        <f t="shared" si="13"/>
        <v/>
      </c>
      <c r="BS72" s="654">
        <f t="shared" si="14"/>
        <v>6.9158797071741214</v>
      </c>
      <c r="BT72" s="653">
        <f t="shared" si="15"/>
        <v>13.585963938389714</v>
      </c>
    </row>
    <row r="73" spans="2:72">
      <c r="B73" s="1034"/>
      <c r="C73" s="1038"/>
      <c r="D73" s="648" t="s">
        <v>66</v>
      </c>
      <c r="E73" s="649" t="s">
        <v>173</v>
      </c>
      <c r="F73" s="650">
        <f>IF(ISNUMBER(ACT!K67),ACT!K67,"")</f>
        <v>0</v>
      </c>
      <c r="G73" s="532" t="s">
        <v>757</v>
      </c>
      <c r="H73" s="651">
        <f>IF(ISNUMBER(ACT!L67),ACT!L67,"")</f>
        <v>0</v>
      </c>
      <c r="I73" s="534" t="s">
        <v>757</v>
      </c>
      <c r="J73" s="651" t="str">
        <f>IF(ISNUMBER(NSW!K67),NSW!K67,"")</f>
        <v/>
      </c>
      <c r="K73" s="532" t="s">
        <v>757</v>
      </c>
      <c r="L73" s="651" t="str">
        <f>IF(ISNUMBER(NSW!L67),NSW!L67,"")</f>
        <v/>
      </c>
      <c r="M73" s="534" t="s">
        <v>757</v>
      </c>
      <c r="N73" s="650" t="str">
        <f>IF(ISNUMBER(NT!K67),NT!K67,"")</f>
        <v/>
      </c>
      <c r="O73" s="532" t="s">
        <v>757</v>
      </c>
      <c r="P73" s="651" t="str">
        <f>IF(ISNUMBER(NT!L67),NT!L67,"")</f>
        <v/>
      </c>
      <c r="Q73" s="534" t="s">
        <v>757</v>
      </c>
      <c r="R73" s="650">
        <f>IF(ISNUMBER(Qld!K67),Qld!K67,"")</f>
        <v>2438.0029999999997</v>
      </c>
      <c r="S73" s="532" t="s">
        <v>757</v>
      </c>
      <c r="T73" s="651">
        <f>IF(ISNUMBER(Qld!L67),Qld!L67,"")</f>
        <v>4080.7710010000005</v>
      </c>
      <c r="U73" s="534" t="s">
        <v>757</v>
      </c>
      <c r="V73" s="650">
        <f>IF(ISNUMBER(SA!K67),SA!K67,"")</f>
        <v>293.16000000000003</v>
      </c>
      <c r="W73" s="532" t="s">
        <v>757</v>
      </c>
      <c r="X73" s="651">
        <f>IF(ISNUMBER(SA!L67),SA!L67,"")</f>
        <v>281.95999999999998</v>
      </c>
      <c r="Y73" s="534" t="s">
        <v>757</v>
      </c>
      <c r="Z73" s="650" t="str">
        <f>IF(ISNUMBER(TAS!K67),TAS!K67,"")</f>
        <v/>
      </c>
      <c r="AA73" s="532" t="s">
        <v>757</v>
      </c>
      <c r="AB73" s="651" t="str">
        <f>IF(ISNUMBER(TAS!L67),TAS!L67,"")</f>
        <v/>
      </c>
      <c r="AC73" s="534" t="s">
        <v>757</v>
      </c>
      <c r="AD73" s="650">
        <f>IF(ISNUMBER(Vic!K67),Vic!K67,"")</f>
        <v>104.42000000000002</v>
      </c>
      <c r="AE73" s="539" t="s">
        <v>757</v>
      </c>
      <c r="AF73" s="651">
        <f>IF(ISNUMBER(Vic!L67),Vic!L67,"")</f>
        <v>49.009999999999984</v>
      </c>
      <c r="AG73" s="540" t="s">
        <v>757</v>
      </c>
      <c r="AH73" s="650">
        <f>IF(ISNUMBER(WA!L67),WA!L67,"")</f>
        <v>39.54</v>
      </c>
      <c r="AI73" s="532" t="s">
        <v>757</v>
      </c>
      <c r="AJ73" s="651">
        <f>IF(ISNUMBER(WA!M67),WA!M67,"")</f>
        <v>81.465000000000003</v>
      </c>
      <c r="AK73" s="534" t="s">
        <v>757</v>
      </c>
      <c r="AL73" s="652"/>
      <c r="AM73" s="647">
        <f>IF(ISNUMBER(ACT!K67),ACT!K67*1000000/AM$7,"")</f>
        <v>0</v>
      </c>
      <c r="AN73" s="653">
        <f>IF(ISNUMBER(ACT!L67),ACT!L67*1000000/AN$7,"")</f>
        <v>0</v>
      </c>
      <c r="AO73" s="654" t="str">
        <f>IF(ISNUMBER(NSW!K67),NSW!K67*1000000/AO$7,"")</f>
        <v/>
      </c>
      <c r="AP73" s="654" t="str">
        <f>IF(ISNUMBER(NSW!L67),NSW!L67*1000000/AP$7,"")</f>
        <v/>
      </c>
      <c r="AQ73" s="647" t="str">
        <f>IF(ISNUMBER(NT!K67),NT!K67*1000000/AQ$7,"")</f>
        <v/>
      </c>
      <c r="AR73" s="653" t="str">
        <f>IF(ISNUMBER(NT!L67),NT!L67*1000000/AR$7,"")</f>
        <v/>
      </c>
      <c r="AS73" s="654">
        <f>IF(ISNUMBER(Qld!K67),Qld!K67*1000000/AS$7,"")</f>
        <v>517.99400164534063</v>
      </c>
      <c r="AT73" s="654">
        <f>IF(ISNUMBER(Qld!L67),Qld!L67*1000000/AT$7,"")</f>
        <v>861.08619447966578</v>
      </c>
      <c r="AU73" s="647">
        <f>IF(ISNUMBER(SA!K67),SA!K67*1000000/AU$7,"")</f>
        <v>174.27240853314183</v>
      </c>
      <c r="AV73" s="653">
        <f>IF(ISNUMBER(SA!L67),SA!L67*1000000/AV$7,"")</f>
        <v>166.98073763841529</v>
      </c>
      <c r="AW73" s="654" t="str">
        <f>IF(ISNUMBER(TAS!K67),TAS!K67*1000000/AW$7,"")</f>
        <v/>
      </c>
      <c r="AX73" s="654" t="str">
        <f>IF(ISNUMBER(TAS!L67),TAS!L67*1000000/AX$7,"")</f>
        <v/>
      </c>
      <c r="AY73" s="647">
        <f>IF(ISNUMBER(Vic!K67),Vic!K67*1000000/AY$7,"")</f>
        <v>17.949497656440567</v>
      </c>
      <c r="AZ73" s="653">
        <f>IF(ISNUMBER(Vic!L67),Vic!L67*1000000/AZ$7,"")</f>
        <v>8.3551773800236742</v>
      </c>
      <c r="BA73" s="647">
        <f>IF(ISNUMBER(WA!L67),WA!L67*1000000/BA$7,"")</f>
        <v>15.466863399119006</v>
      </c>
      <c r="BB73" s="655">
        <f>IF(ISNUMBER(WA!M67),WA!M67*1000000/BB$7,"")</f>
        <v>31.649073488088035</v>
      </c>
      <c r="BD73" s="647">
        <v>0</v>
      </c>
      <c r="BE73" s="654">
        <v>0</v>
      </c>
      <c r="BF73" s="654">
        <v>0</v>
      </c>
      <c r="BG73" s="654">
        <v>850.3395903352648</v>
      </c>
      <c r="BH73" s="654">
        <v>355.75421529898989</v>
      </c>
      <c r="BI73" s="654" t="s">
        <v>855</v>
      </c>
      <c r="BJ73" s="654">
        <v>67.058909079417504</v>
      </c>
      <c r="BK73" s="653">
        <v>17.657901049790617</v>
      </c>
      <c r="BM73" s="647">
        <f t="shared" si="8"/>
        <v>0</v>
      </c>
      <c r="BN73" s="654" t="str">
        <f t="shared" si="9"/>
        <v/>
      </c>
      <c r="BO73" s="654" t="str">
        <f t="shared" si="10"/>
        <v/>
      </c>
      <c r="BP73" s="654">
        <f t="shared" si="11"/>
        <v>690.12984831967833</v>
      </c>
      <c r="BQ73" s="654">
        <f t="shared" si="12"/>
        <v>170.61966813537077</v>
      </c>
      <c r="BR73" s="654" t="str">
        <f t="shared" si="13"/>
        <v/>
      </c>
      <c r="BS73" s="654">
        <f t="shared" si="14"/>
        <v>13.132468112273829</v>
      </c>
      <c r="BT73" s="653">
        <f t="shared" si="15"/>
        <v>23.585687159118063</v>
      </c>
    </row>
    <row r="74" spans="2:72">
      <c r="B74" s="1034"/>
      <c r="C74" s="1038"/>
      <c r="D74" s="648" t="s">
        <v>67</v>
      </c>
      <c r="E74" s="649" t="s">
        <v>174</v>
      </c>
      <c r="F74" s="650">
        <f>IF(ISNUMBER(ACT!K68),ACT!K68,"")</f>
        <v>0</v>
      </c>
      <c r="G74" s="532" t="s">
        <v>757</v>
      </c>
      <c r="H74" s="651">
        <f>IF(ISNUMBER(ACT!L68),ACT!L68,"")</f>
        <v>0</v>
      </c>
      <c r="I74" s="534" t="s">
        <v>757</v>
      </c>
      <c r="J74" s="651">
        <f>IF(ISNUMBER(NSW!K68),NSW!K68,"")</f>
        <v>3813.29088</v>
      </c>
      <c r="K74" s="532" t="s">
        <v>757</v>
      </c>
      <c r="L74" s="651">
        <f>IF(ISNUMBER(NSW!L68),NSW!L68,"")</f>
        <v>2835.12</v>
      </c>
      <c r="M74" s="534" t="s">
        <v>757</v>
      </c>
      <c r="N74" s="650" t="str">
        <f>IF(ISNUMBER(NT!K68),NT!K68,"")</f>
        <v/>
      </c>
      <c r="O74" s="532" t="s">
        <v>757</v>
      </c>
      <c r="P74" s="651">
        <f>IF(ISNUMBER(NT!L68),NT!L68,"")</f>
        <v>1.8029999999999999</v>
      </c>
      <c r="Q74" s="534" t="s">
        <v>757</v>
      </c>
      <c r="R74" s="650">
        <f>IF(ISNUMBER(Qld!K68),Qld!K68,"")</f>
        <v>6221.1439999999993</v>
      </c>
      <c r="S74" s="532" t="s">
        <v>757</v>
      </c>
      <c r="T74" s="651">
        <f>IF(ISNUMBER(Qld!L68),Qld!L68,"")</f>
        <v>5054.0650010000008</v>
      </c>
      <c r="U74" s="534" t="s">
        <v>757</v>
      </c>
      <c r="V74" s="650">
        <f>IF(ISNUMBER(SA!K68),SA!K68,"")</f>
        <v>24.53</v>
      </c>
      <c r="W74" s="532" t="s">
        <v>757</v>
      </c>
      <c r="X74" s="651">
        <f>IF(ISNUMBER(SA!L68),SA!L68,"")</f>
        <v>13.09</v>
      </c>
      <c r="Y74" s="534" t="s">
        <v>757</v>
      </c>
      <c r="Z74" s="650" t="str">
        <f>IF(ISNUMBER(TAS!K68),TAS!K68,"")</f>
        <v/>
      </c>
      <c r="AA74" s="532" t="s">
        <v>757</v>
      </c>
      <c r="AB74" s="651">
        <f>IF(ISNUMBER(TAS!L68),TAS!L68,"")</f>
        <v>10</v>
      </c>
      <c r="AC74" s="534" t="s">
        <v>757</v>
      </c>
      <c r="AD74" s="650">
        <f>IF(ISNUMBER(Vic!K68),Vic!K68,"")</f>
        <v>7359.8300000000008</v>
      </c>
      <c r="AE74" s="539" t="s">
        <v>757</v>
      </c>
      <c r="AF74" s="651">
        <f>IF(ISNUMBER(Vic!L68),Vic!L68,"")</f>
        <v>9357.551999999996</v>
      </c>
      <c r="AG74" s="540" t="s">
        <v>757</v>
      </c>
      <c r="AH74" s="650">
        <f>IF(ISNUMBER(WA!L68),WA!L68,"")</f>
        <v>218.8</v>
      </c>
      <c r="AI74" s="532" t="s">
        <v>757</v>
      </c>
      <c r="AJ74" s="651">
        <f>IF(ISNUMBER(WA!M68),WA!M68,"")</f>
        <v>315.47199999999998</v>
      </c>
      <c r="AK74" s="534" t="s">
        <v>757</v>
      </c>
      <c r="AL74" s="652"/>
      <c r="AM74" s="647">
        <f>IF(ISNUMBER(ACT!K68),ACT!K68*1000000/AM$7,"")</f>
        <v>0</v>
      </c>
      <c r="AN74" s="653">
        <f>IF(ISNUMBER(ACT!L68),ACT!L68*1000000/AN$7,"")</f>
        <v>0</v>
      </c>
      <c r="AO74" s="654">
        <f>IF(ISNUMBER(NSW!K68),NSW!K68*1000000/AO$7,"")</f>
        <v>508.58993692925537</v>
      </c>
      <c r="AP74" s="654">
        <f>IF(ISNUMBER(NSW!L68),NSW!L68*1000000/AP$7,"")</f>
        <v>375.79604748217366</v>
      </c>
      <c r="AQ74" s="647" t="str">
        <f>IF(ISNUMBER(NT!K68),NT!K68*1000000/AQ$7,"")</f>
        <v/>
      </c>
      <c r="AR74" s="653">
        <f>IF(ISNUMBER(NT!L68),NT!L68*1000000/AR$7,"")</f>
        <v>7.3621285248793393</v>
      </c>
      <c r="AS74" s="654">
        <f>IF(ISNUMBER(Qld!K68),Qld!K68*1000000/AS$7,"")</f>
        <v>1321.7847867176131</v>
      </c>
      <c r="AT74" s="654">
        <f>IF(ISNUMBER(Qld!L68),Qld!L68*1000000/AT$7,"")</f>
        <v>1066.4616067153725</v>
      </c>
      <c r="AU74" s="647">
        <f>IF(ISNUMBER(SA!K68),SA!K68*1000000/AU$7,"")</f>
        <v>14.582146886744335</v>
      </c>
      <c r="AV74" s="653">
        <f>IF(ISNUMBER(SA!L68),SA!L68*1000000/AV$7,"")</f>
        <v>7.7520848903633706</v>
      </c>
      <c r="AW74" s="654" t="str">
        <f>IF(ISNUMBER(TAS!K68),TAS!K68*1000000/AW$7,"")</f>
        <v/>
      </c>
      <c r="AX74" s="654">
        <f>IF(ISNUMBER(TAS!L68),TAS!L68*1000000/AX$7,"")</f>
        <v>19.418079008279868</v>
      </c>
      <c r="AY74" s="647">
        <f>IF(ISNUMBER(Vic!K68),Vic!K68*1000000/AY$7,"")</f>
        <v>1265.1336078988793</v>
      </c>
      <c r="AZ74" s="653">
        <f>IF(ISNUMBER(Vic!L68),Vic!L68*1000000/AZ$7,"")</f>
        <v>1595.2664109935783</v>
      </c>
      <c r="BA74" s="647">
        <f>IF(ISNUMBER(WA!L68),WA!L68*1000000/BA$7,"")</f>
        <v>85.588004848943825</v>
      </c>
      <c r="BB74" s="655">
        <f>IF(ISNUMBER(WA!M68),WA!M68*1000000/BB$7,"")</f>
        <v>122.56056602754691</v>
      </c>
      <c r="BD74" s="647">
        <v>0</v>
      </c>
      <c r="BE74" s="654">
        <v>3047.7601640942507</v>
      </c>
      <c r="BF74" s="654">
        <v>0</v>
      </c>
      <c r="BG74" s="654">
        <v>2651.9899122984348</v>
      </c>
      <c r="BH74" s="654">
        <v>100.40279357799535</v>
      </c>
      <c r="BI74" s="654" t="s">
        <v>855</v>
      </c>
      <c r="BJ74" s="654">
        <v>3714.886164337182</v>
      </c>
      <c r="BK74" s="653">
        <v>2568.4228837892047</v>
      </c>
      <c r="BM74" s="647">
        <f t="shared" si="8"/>
        <v>0</v>
      </c>
      <c r="BN74" s="654">
        <f t="shared" si="9"/>
        <v>441.98758735163949</v>
      </c>
      <c r="BO74" s="654">
        <f t="shared" si="10"/>
        <v>3.6894026359891714</v>
      </c>
      <c r="BP74" s="654">
        <f t="shared" si="11"/>
        <v>1193.6843149400665</v>
      </c>
      <c r="BQ74" s="654">
        <f t="shared" si="12"/>
        <v>11.160648065191001</v>
      </c>
      <c r="BR74" s="654">
        <f t="shared" si="13"/>
        <v>9.7132833034487991</v>
      </c>
      <c r="BS74" s="654">
        <f t="shared" si="14"/>
        <v>1430.883699639578</v>
      </c>
      <c r="BT74" s="653">
        <f t="shared" si="15"/>
        <v>104.13761621318397</v>
      </c>
    </row>
    <row r="75" spans="2:72">
      <c r="B75" s="1034"/>
      <c r="C75" s="1038"/>
      <c r="D75" s="648" t="s">
        <v>68</v>
      </c>
      <c r="E75" s="649" t="s">
        <v>175</v>
      </c>
      <c r="F75" s="650">
        <f>IF(ISNUMBER(ACT!K69),ACT!K69,"")</f>
        <v>0</v>
      </c>
      <c r="G75" s="532" t="s">
        <v>757</v>
      </c>
      <c r="H75" s="651">
        <f>IF(ISNUMBER(ACT!L69),ACT!L69,"")</f>
        <v>0</v>
      </c>
      <c r="I75" s="534" t="s">
        <v>757</v>
      </c>
      <c r="J75" s="651">
        <f>IF(ISNUMBER(NSW!K69),NSW!K69,"")</f>
        <v>1207.9000000000001</v>
      </c>
      <c r="K75" s="532" t="s">
        <v>757</v>
      </c>
      <c r="L75" s="651">
        <f>IF(ISNUMBER(NSW!L69),NSW!L69,"")</f>
        <v>2217.0237999999999</v>
      </c>
      <c r="M75" s="534" t="s">
        <v>757</v>
      </c>
      <c r="N75" s="650" t="str">
        <f>IF(ISNUMBER(NT!K69),NT!K69,"")</f>
        <v/>
      </c>
      <c r="O75" s="532" t="s">
        <v>757</v>
      </c>
      <c r="P75" s="651" t="str">
        <f>IF(ISNUMBER(NT!L69),NT!L69,"")</f>
        <v/>
      </c>
      <c r="Q75" s="534" t="s">
        <v>757</v>
      </c>
      <c r="R75" s="650">
        <f>IF(ISNUMBER(Qld!K69),Qld!K69,"")</f>
        <v>3550.0049999999992</v>
      </c>
      <c r="S75" s="532" t="s">
        <v>757</v>
      </c>
      <c r="T75" s="651">
        <f>IF(ISNUMBER(Qld!L69),Qld!L69,"")</f>
        <v>3695.2900009999971</v>
      </c>
      <c r="U75" s="534" t="s">
        <v>757</v>
      </c>
      <c r="V75" s="650">
        <f>IF(ISNUMBER(SA!K69),SA!K69,"")</f>
        <v>248.26</v>
      </c>
      <c r="W75" s="532" t="s">
        <v>757</v>
      </c>
      <c r="X75" s="651">
        <f>IF(ISNUMBER(SA!L69),SA!L69,"")</f>
        <v>258.42</v>
      </c>
      <c r="Y75" s="534" t="s">
        <v>757</v>
      </c>
      <c r="Z75" s="650" t="str">
        <f>IF(ISNUMBER(TAS!K69),TAS!K69,"")</f>
        <v/>
      </c>
      <c r="AA75" s="532" t="s">
        <v>757</v>
      </c>
      <c r="AB75" s="651" t="str">
        <f>IF(ISNUMBER(TAS!L69),TAS!L69,"")</f>
        <v/>
      </c>
      <c r="AC75" s="534" t="s">
        <v>757</v>
      </c>
      <c r="AD75" s="650">
        <f>IF(ISNUMBER(Vic!K69),Vic!K69,"")</f>
        <v>2007.7430000000006</v>
      </c>
      <c r="AE75" s="539" t="s">
        <v>757</v>
      </c>
      <c r="AF75" s="651">
        <f>IF(ISNUMBER(Vic!L69),Vic!L69,"")</f>
        <v>2107.9700000000007</v>
      </c>
      <c r="AG75" s="540" t="s">
        <v>757</v>
      </c>
      <c r="AH75" s="650">
        <f>IF(ISNUMBER(WA!L69),WA!L69,"")</f>
        <v>14.510000000000002</v>
      </c>
      <c r="AI75" s="532" t="s">
        <v>757</v>
      </c>
      <c r="AJ75" s="651">
        <f>IF(ISNUMBER(WA!M69),WA!M69,"")</f>
        <v>79.16</v>
      </c>
      <c r="AK75" s="534" t="s">
        <v>757</v>
      </c>
      <c r="AL75" s="652"/>
      <c r="AM75" s="647">
        <f>IF(ISNUMBER(ACT!K69),ACT!K69*1000000/AM$7,"")</f>
        <v>0</v>
      </c>
      <c r="AN75" s="653">
        <f>IF(ISNUMBER(ACT!L69),ACT!L69*1000000/AN$7,"")</f>
        <v>0</v>
      </c>
      <c r="AO75" s="654">
        <f>IF(ISNUMBER(NSW!K69),NSW!K69*1000000/AO$7,"")</f>
        <v>161.10121261372214</v>
      </c>
      <c r="AP75" s="654">
        <f>IF(ISNUMBER(NSW!L69),NSW!L69*1000000/AP$7,"")</f>
        <v>293.8672018164695</v>
      </c>
      <c r="AQ75" s="647" t="str">
        <f>IF(ISNUMBER(NT!K69),NT!K69*1000000/AQ$7,"")</f>
        <v/>
      </c>
      <c r="AR75" s="653" t="str">
        <f>IF(ISNUMBER(NT!L69),NT!L69*1000000/AR$7,"")</f>
        <v/>
      </c>
      <c r="AS75" s="654">
        <f>IF(ISNUMBER(Qld!K69),Qld!K69*1000000/AS$7,"")</f>
        <v>754.25719156660887</v>
      </c>
      <c r="AT75" s="654">
        <f>IF(ISNUMBER(Qld!L69),Qld!L69*1000000/AT$7,"")</f>
        <v>779.74559309505526</v>
      </c>
      <c r="AU75" s="647">
        <f>IF(ISNUMBER(SA!K69),SA!K69*1000000/AU$7,"")</f>
        <v>147.58107566665913</v>
      </c>
      <c r="AV75" s="653">
        <f>IF(ISNUMBER(SA!L69),SA!L69*1000000/AV$7,"")</f>
        <v>153.04001354986269</v>
      </c>
      <c r="AW75" s="654" t="str">
        <f>IF(ISNUMBER(TAS!K69),TAS!K69*1000000/AW$7,"")</f>
        <v/>
      </c>
      <c r="AX75" s="654" t="str">
        <f>IF(ISNUMBER(TAS!L69),TAS!L69*1000000/AX$7,"")</f>
        <v/>
      </c>
      <c r="AY75" s="647">
        <f>IF(ISNUMBER(Vic!K69),Vic!K69*1000000/AY$7,"")</f>
        <v>345.12524682278263</v>
      </c>
      <c r="AZ75" s="653">
        <f>IF(ISNUMBER(Vic!L69),Vic!L69*1000000/AZ$7,"")</f>
        <v>359.36468601853733</v>
      </c>
      <c r="BA75" s="647">
        <f>IF(ISNUMBER(WA!L69),WA!L69*1000000/BA$7,"")</f>
        <v>5.6758772868289533</v>
      </c>
      <c r="BB75" s="655">
        <f>IF(ISNUMBER(WA!M69),WA!M69*1000000/BB$7,"")</f>
        <v>30.753583223679481</v>
      </c>
      <c r="BD75" s="647">
        <v>0</v>
      </c>
      <c r="BE75" s="654">
        <v>393.1936602051191</v>
      </c>
      <c r="BF75" s="654">
        <v>0</v>
      </c>
      <c r="BG75" s="654">
        <v>1959.5246911876795</v>
      </c>
      <c r="BH75" s="654">
        <v>316.35867439409276</v>
      </c>
      <c r="BI75" s="654" t="s">
        <v>855</v>
      </c>
      <c r="BJ75" s="654">
        <v>923.56104099431604</v>
      </c>
      <c r="BK75" s="653">
        <v>50.187654182412359</v>
      </c>
      <c r="BM75" s="647">
        <f t="shared" si="8"/>
        <v>0</v>
      </c>
      <c r="BN75" s="654">
        <f t="shared" si="9"/>
        <v>227.68956891322713</v>
      </c>
      <c r="BO75" s="654" t="str">
        <f t="shared" si="10"/>
        <v/>
      </c>
      <c r="BP75" s="654">
        <f t="shared" si="11"/>
        <v>767.04520501928823</v>
      </c>
      <c r="BQ75" s="654">
        <f t="shared" si="12"/>
        <v>150.31571402634177</v>
      </c>
      <c r="BR75" s="654" t="str">
        <f t="shared" si="13"/>
        <v/>
      </c>
      <c r="BS75" s="654">
        <f t="shared" si="14"/>
        <v>352.27445565906851</v>
      </c>
      <c r="BT75" s="653">
        <f t="shared" si="15"/>
        <v>18.257686179865203</v>
      </c>
    </row>
    <row r="76" spans="2:72">
      <c r="B76" s="1034"/>
      <c r="C76" s="1038"/>
      <c r="D76" s="648" t="s">
        <v>128</v>
      </c>
      <c r="E76" s="649" t="s">
        <v>167</v>
      </c>
      <c r="F76" s="650">
        <f>IF(ISNUMBER(ACT!K70),ACT!K70,"")</f>
        <v>0</v>
      </c>
      <c r="G76" s="532" t="s">
        <v>757</v>
      </c>
      <c r="H76" s="651">
        <f>IF(ISNUMBER(ACT!L70),ACT!L70,"")</f>
        <v>0</v>
      </c>
      <c r="I76" s="534" t="s">
        <v>757</v>
      </c>
      <c r="J76" s="651">
        <f>IF(ISNUMBER(NSW!K70),NSW!K70,"")</f>
        <v>12797.348719999998</v>
      </c>
      <c r="K76" s="532" t="s">
        <v>757</v>
      </c>
      <c r="L76" s="651">
        <f>IF(ISNUMBER(NSW!L70),NSW!L70,"")</f>
        <v>14070.44274</v>
      </c>
      <c r="M76" s="534" t="s">
        <v>757</v>
      </c>
      <c r="N76" s="650" t="str">
        <f>IF(ISNUMBER(NT!K70),NT!K70,"")</f>
        <v/>
      </c>
      <c r="O76" s="532" t="s">
        <v>757</v>
      </c>
      <c r="P76" s="651" t="str">
        <f>IF(ISNUMBER(NT!L70),NT!L70,"")</f>
        <v/>
      </c>
      <c r="Q76" s="534" t="s">
        <v>757</v>
      </c>
      <c r="R76" s="650">
        <f>IF(ISNUMBER(Qld!K70),Qld!K70,"")</f>
        <v>97838.205999999976</v>
      </c>
      <c r="S76" s="532" t="s">
        <v>757</v>
      </c>
      <c r="T76" s="651">
        <f>IF(ISNUMBER(Qld!L70),Qld!L70,"")</f>
        <v>99905.321001000048</v>
      </c>
      <c r="U76" s="534" t="s">
        <v>757</v>
      </c>
      <c r="V76" s="650">
        <f>IF(ISNUMBER(SA!K70),SA!K70,"")</f>
        <v>19258.12</v>
      </c>
      <c r="W76" s="532" t="s">
        <v>757</v>
      </c>
      <c r="X76" s="651">
        <f>IF(ISNUMBER(SA!L70),SA!L70,"")</f>
        <v>42627.44</v>
      </c>
      <c r="Y76" s="534" t="s">
        <v>757</v>
      </c>
      <c r="Z76" s="650" t="str">
        <f>IF(ISNUMBER(TAS!K70),TAS!K70,"")</f>
        <v/>
      </c>
      <c r="AA76" s="532" t="s">
        <v>757</v>
      </c>
      <c r="AB76" s="651" t="str">
        <f>IF(ISNUMBER(TAS!L70),TAS!L70,"")</f>
        <v/>
      </c>
      <c r="AC76" s="534" t="s">
        <v>757</v>
      </c>
      <c r="AD76" s="650">
        <f>IF(ISNUMBER(Vic!K70),Vic!K70,"")</f>
        <v>2101.3510000000001</v>
      </c>
      <c r="AE76" s="532" t="s">
        <v>757</v>
      </c>
      <c r="AF76" s="651">
        <f>IF(ISNUMBER(Vic!L70),Vic!L70,"")</f>
        <v>2404.490000000003</v>
      </c>
      <c r="AG76" s="534" t="s">
        <v>757</v>
      </c>
      <c r="AH76" s="650">
        <f>IF(ISNUMBER(WA!L70),WA!L70,"")</f>
        <v>8494.2522600000011</v>
      </c>
      <c r="AI76" s="532" t="s">
        <v>757</v>
      </c>
      <c r="AJ76" s="651">
        <f>IF(ISNUMBER(WA!M70),WA!M70,"")</f>
        <v>6042.813000000001</v>
      </c>
      <c r="AK76" s="534" t="s">
        <v>757</v>
      </c>
      <c r="AL76" s="652"/>
      <c r="AM76" s="647">
        <f>IF(ISNUMBER(ACT!K70),ACT!K70*1000000/AM$7,"")</f>
        <v>0</v>
      </c>
      <c r="AN76" s="653">
        <f>IF(ISNUMBER(ACT!L70),ACT!L70*1000000/AN$7,"")</f>
        <v>0</v>
      </c>
      <c r="AO76" s="654">
        <f>IF(ISNUMBER(NSW!K70),NSW!K70*1000000/AO$7,"")</f>
        <v>1706.8204296983727</v>
      </c>
      <c r="AP76" s="654">
        <f>IF(ISNUMBER(NSW!L70),NSW!L70*1000000/AP$7,"")</f>
        <v>1865.0416095319581</v>
      </c>
      <c r="AQ76" s="647" t="str">
        <f>IF(ISNUMBER(NT!K70),NT!K70*1000000/AQ$7,"")</f>
        <v/>
      </c>
      <c r="AR76" s="653" t="str">
        <f>IF(ISNUMBER(NT!L70),NT!L70*1000000/AR$7,"")</f>
        <v/>
      </c>
      <c r="AS76" s="654">
        <f>IF(ISNUMBER(Qld!K70),Qld!K70*1000000/AS$7,"")</f>
        <v>20787.342689792084</v>
      </c>
      <c r="AT76" s="654">
        <f>IF(ISNUMBER(Qld!L70),Qld!L70*1000000/AT$7,"")</f>
        <v>21081.088021832016</v>
      </c>
      <c r="AU76" s="647">
        <f>IF(ISNUMBER(SA!K70),SA!K70*1000000/AU$7,"")</f>
        <v>11448.215841930241</v>
      </c>
      <c r="AV76" s="653">
        <f>IF(ISNUMBER(SA!L70),SA!L70*1000000/AV$7,"")</f>
        <v>25244.578574398103</v>
      </c>
      <c r="AW76" s="654" t="str">
        <f>IF(ISNUMBER(TAS!K70),TAS!K70*1000000/AW$7,"")</f>
        <v/>
      </c>
      <c r="AX76" s="654" t="str">
        <f>IF(ISNUMBER(TAS!L70),TAS!L70*1000000/AX$7,"")</f>
        <v/>
      </c>
      <c r="AY76" s="647">
        <f>IF(ISNUMBER(Vic!K70),Vic!K70*1000000/AY$7,"")</f>
        <v>361.2161927778111</v>
      </c>
      <c r="AZ76" s="653">
        <f>IF(ISNUMBER(Vic!L70),Vic!L70*1000000/AZ$7,"")</f>
        <v>409.91512871848914</v>
      </c>
      <c r="BA76" s="647">
        <f>IF(ISNUMBER(WA!L70),WA!L70*1000000/BA$7,"")</f>
        <v>3322.6970000778433</v>
      </c>
      <c r="BB76" s="655">
        <f>IF(ISNUMBER(WA!M70),WA!M70*1000000/BB$7,"")</f>
        <v>2347.6269896492208</v>
      </c>
      <c r="BD76" s="647">
        <v>0</v>
      </c>
      <c r="BE76" s="654">
        <v>3097.877093920948</v>
      </c>
      <c r="BF76" s="654">
        <v>0</v>
      </c>
      <c r="BG76" s="654">
        <v>42881.502450582433</v>
      </c>
      <c r="BH76" s="654">
        <v>31260.197485302066</v>
      </c>
      <c r="BI76" s="654" t="s">
        <v>855</v>
      </c>
      <c r="BJ76" s="654">
        <v>0</v>
      </c>
      <c r="BK76" s="653">
        <v>6985.0115475373568</v>
      </c>
      <c r="BM76" s="647">
        <f t="shared" si="8"/>
        <v>0</v>
      </c>
      <c r="BN76" s="654">
        <f t="shared" si="9"/>
        <v>1786.1757552614413</v>
      </c>
      <c r="BO76" s="654" t="str">
        <f t="shared" si="10"/>
        <v/>
      </c>
      <c r="BP76" s="654">
        <f t="shared" si="11"/>
        <v>20934.720282443235</v>
      </c>
      <c r="BQ76" s="654">
        <f t="shared" si="12"/>
        <v>18359.461868082446</v>
      </c>
      <c r="BR76" s="654" t="str">
        <f t="shared" si="13"/>
        <v/>
      </c>
      <c r="BS76" s="654">
        <f t="shared" si="14"/>
        <v>385.66651405511345</v>
      </c>
      <c r="BT76" s="653">
        <f t="shared" si="15"/>
        <v>2833.4917849183366</v>
      </c>
    </row>
    <row r="77" spans="2:72">
      <c r="B77" s="1034"/>
      <c r="C77" s="1038"/>
      <c r="D77" s="648" t="s">
        <v>69</v>
      </c>
      <c r="E77" s="649" t="s">
        <v>129</v>
      </c>
      <c r="F77" s="650">
        <f>IF(ISNUMBER(ACT!K71),ACT!K71,"")</f>
        <v>0</v>
      </c>
      <c r="G77" s="532" t="s">
        <v>757</v>
      </c>
      <c r="H77" s="651">
        <f>IF(ISNUMBER(ACT!L71),ACT!L71,"")</f>
        <v>0</v>
      </c>
      <c r="I77" s="534" t="s">
        <v>757</v>
      </c>
      <c r="J77" s="651"/>
      <c r="K77" s="531"/>
      <c r="L77" s="651"/>
      <c r="M77" s="544"/>
      <c r="N77" s="650" t="str">
        <f>IF(ISNUMBER(NT!K71),NT!K71,"")</f>
        <v/>
      </c>
      <c r="O77" s="531"/>
      <c r="P77" s="651" t="str">
        <f>IF(ISNUMBER(NT!L71),NT!L71,"")</f>
        <v/>
      </c>
      <c r="Q77" s="544"/>
      <c r="R77" s="650">
        <f>IF(ISNUMBER(Qld!K71),Qld!K71,"")</f>
        <v>74907.101000000068</v>
      </c>
      <c r="S77" s="532" t="s">
        <v>757</v>
      </c>
      <c r="T77" s="651">
        <f>IF(ISNUMBER(Qld!L71),Qld!L71,"")</f>
        <v>84631.098000999977</v>
      </c>
      <c r="U77" s="534" t="s">
        <v>757</v>
      </c>
      <c r="V77" s="650">
        <f>IF(ISNUMBER(SA!K71),SA!K71,"")</f>
        <v>6706.91</v>
      </c>
      <c r="W77" s="532" t="s">
        <v>757</v>
      </c>
      <c r="X77" s="651">
        <f>IF(ISNUMBER(SA!L71),SA!L71,"")</f>
        <v>10020.66</v>
      </c>
      <c r="Y77" s="534" t="s">
        <v>757</v>
      </c>
      <c r="Z77" s="650" t="str">
        <f>IF(ISNUMBER(TAS!K71),TAS!K71,"")</f>
        <v/>
      </c>
      <c r="AA77" s="531"/>
      <c r="AB77" s="651" t="str">
        <f>IF(ISNUMBER(TAS!L71),TAS!L71,"")</f>
        <v/>
      </c>
      <c r="AC77" s="544"/>
      <c r="AD77" s="650">
        <f>IF(ISNUMBER(Vic!K71),Vic!K71,"")</f>
        <v>41513.298999999963</v>
      </c>
      <c r="AE77" s="539" t="s">
        <v>757</v>
      </c>
      <c r="AF77" s="651">
        <f>IF(ISNUMBER(Vic!L71),Vic!L71,"")</f>
        <v>44188.370999999963</v>
      </c>
      <c r="AG77" s="540" t="s">
        <v>757</v>
      </c>
      <c r="AH77" s="650" t="str">
        <f>IF(ISNUMBER(WA!L71),WA!L71,"")</f>
        <v/>
      </c>
      <c r="AI77" s="531"/>
      <c r="AJ77" s="651"/>
      <c r="AK77" s="544"/>
      <c r="AL77" s="652"/>
      <c r="AM77" s="647">
        <f>IF(ISNUMBER(ACT!K71),ACT!K71*1000000/AM$7,"")</f>
        <v>0</v>
      </c>
      <c r="AN77" s="653">
        <f>IF(ISNUMBER(ACT!L71),ACT!L71*1000000/AN$7,"")</f>
        <v>0</v>
      </c>
      <c r="AO77" s="654">
        <f>IF(ISNUMBER(NSW!K71),NSW!K71*1000000/AO$7,"")</f>
        <v>28008.324073914766</v>
      </c>
      <c r="AP77" s="654">
        <f>IF(ISNUMBER(NSW!L71),NSW!L71*1000000/AP$7,"")</f>
        <v>27835.566032921521</v>
      </c>
      <c r="AQ77" s="647" t="str">
        <f>IF(ISNUMBER(NT!K71),NT!K71*1000000/AQ$7,"")</f>
        <v/>
      </c>
      <c r="AR77" s="653" t="str">
        <f>IF(ISNUMBER(NT!L71),NT!L71*1000000/AR$7,"")</f>
        <v/>
      </c>
      <c r="AS77" s="654">
        <f>IF(ISNUMBER(Qld!K71),Qld!K71*1000000/AS$7,"")</f>
        <v>15915.250718986701</v>
      </c>
      <c r="AT77" s="654">
        <f>IF(ISNUMBER(Qld!L71),Qld!L71*1000000/AT$7,"")</f>
        <v>17858.064099764146</v>
      </c>
      <c r="AU77" s="647">
        <f>IF(ISNUMBER(SA!K71),SA!K71*1000000/AU$7,"")</f>
        <v>3987.00149923255</v>
      </c>
      <c r="AV77" s="653">
        <f>IF(ISNUMBER(SA!L71),SA!L71*1000000/AV$7,"")</f>
        <v>5934.3779203566555</v>
      </c>
      <c r="AW77" s="654" t="str">
        <f>IF(ISNUMBER(TAS!K71),TAS!K71*1000000/AW$7,"")</f>
        <v/>
      </c>
      <c r="AX77" s="654" t="str">
        <f>IF(ISNUMBER(TAS!L71),TAS!L71*1000000/AX$7,"")</f>
        <v/>
      </c>
      <c r="AY77" s="647">
        <f>IF(ISNUMBER(Vic!K71),Vic!K71*1000000/AY$7,"")</f>
        <v>7136.0166932734701</v>
      </c>
      <c r="AZ77" s="653">
        <f>IF(ISNUMBER(Vic!L71),Vic!L71*1000000/AZ$7,"")</f>
        <v>7533.1907333053232</v>
      </c>
      <c r="BA77" s="647" t="str">
        <f>IF(ISNUMBER(WA!L71),WA!L71*1000000/BA$7,"")</f>
        <v/>
      </c>
      <c r="BB77" s="655">
        <f>IF(ISNUMBER(WA!M71),WA!M71*1000000/BB$7,"")</f>
        <v>2.4747388218145314</v>
      </c>
      <c r="BD77" s="647">
        <v>0</v>
      </c>
      <c r="BE77" s="654" t="s">
        <v>855</v>
      </c>
      <c r="BF77" s="654" t="s">
        <v>855</v>
      </c>
      <c r="BG77" s="654">
        <v>24670.116371379558</v>
      </c>
      <c r="BH77" s="654">
        <v>11306.717306986033</v>
      </c>
      <c r="BI77" s="654" t="s">
        <v>855</v>
      </c>
      <c r="BJ77" s="654">
        <v>10054.839659869293</v>
      </c>
      <c r="BK77" s="653" t="s">
        <v>855</v>
      </c>
      <c r="BM77" s="647">
        <f t="shared" si="8"/>
        <v>0</v>
      </c>
      <c r="BN77" s="654">
        <f t="shared" si="9"/>
        <v>27921.677832235389</v>
      </c>
      <c r="BO77" s="654" t="str">
        <f t="shared" si="10"/>
        <v/>
      </c>
      <c r="BP77" s="654">
        <f t="shared" si="11"/>
        <v>16889.996962751709</v>
      </c>
      <c r="BQ77" s="654">
        <f t="shared" si="12"/>
        <v>4962.533805312255</v>
      </c>
      <c r="BR77" s="654" t="str">
        <f t="shared" si="13"/>
        <v/>
      </c>
      <c r="BS77" s="654">
        <f t="shared" si="14"/>
        <v>7335.4262428704533</v>
      </c>
      <c r="BT77" s="653">
        <f t="shared" si="15"/>
        <v>1.2416084228220492</v>
      </c>
    </row>
    <row r="78" spans="2:72">
      <c r="B78" s="1035"/>
      <c r="C78" s="1037"/>
      <c r="D78" s="648" t="s">
        <v>70</v>
      </c>
      <c r="E78" s="649" t="s">
        <v>168</v>
      </c>
      <c r="F78" s="656">
        <f>IF(ISNUMBER(ACT!K72),ACT!K72,"")</f>
        <v>0</v>
      </c>
      <c r="G78" s="535" t="s">
        <v>757</v>
      </c>
      <c r="H78" s="657">
        <f>IF(ISNUMBER(ACT!L72),ACT!L72,"")</f>
        <v>0</v>
      </c>
      <c r="I78" s="536" t="s">
        <v>757</v>
      </c>
      <c r="J78" s="657" t="str">
        <f>IF(ISNUMBER(NSW!K72),NSW!K72,"")</f>
        <v/>
      </c>
      <c r="K78" s="535" t="s">
        <v>757</v>
      </c>
      <c r="L78" s="657" t="str">
        <f>IF(ISNUMBER(NSW!L72),NSW!L72,"")</f>
        <v/>
      </c>
      <c r="M78" s="536" t="s">
        <v>757</v>
      </c>
      <c r="N78" s="656" t="str">
        <f>IF(ISNUMBER(NT!K72),NT!K72,"")</f>
        <v/>
      </c>
      <c r="O78" s="535" t="s">
        <v>757</v>
      </c>
      <c r="P78" s="657" t="str">
        <f>IF(ISNUMBER(NT!L72),NT!L72,"")</f>
        <v/>
      </c>
      <c r="Q78" s="536" t="s">
        <v>757</v>
      </c>
      <c r="R78" s="656" t="str">
        <f>IF(ISNUMBER(Qld!K72),Qld!K72,"")</f>
        <v/>
      </c>
      <c r="S78" s="535" t="s">
        <v>757</v>
      </c>
      <c r="T78" s="657" t="str">
        <f>IF(ISNUMBER(Qld!L72),Qld!L72,"")</f>
        <v/>
      </c>
      <c r="U78" s="536" t="s">
        <v>757</v>
      </c>
      <c r="V78" s="656">
        <f>IF(ISNUMBER(SA!K72),SA!K72,"")</f>
        <v>965.41</v>
      </c>
      <c r="W78" s="535" t="s">
        <v>757</v>
      </c>
      <c r="X78" s="657">
        <f>IF(ISNUMBER(SA!L72),SA!L72,"")</f>
        <v>1950.96</v>
      </c>
      <c r="Y78" s="536" t="s">
        <v>757</v>
      </c>
      <c r="Z78" s="656" t="str">
        <f>IF(ISNUMBER(TAS!K72),TAS!K72,"")</f>
        <v/>
      </c>
      <c r="AA78" s="535" t="s">
        <v>757</v>
      </c>
      <c r="AB78" s="657" t="str">
        <f>IF(ISNUMBER(TAS!L72),TAS!L72,"")</f>
        <v/>
      </c>
      <c r="AC78" s="536" t="s">
        <v>757</v>
      </c>
      <c r="AD78" s="656">
        <f>IF(ISNUMBER(Vic!K72),Vic!K72,"")</f>
        <v>26.419999999999995</v>
      </c>
      <c r="AE78" s="537" t="s">
        <v>757</v>
      </c>
      <c r="AF78" s="657">
        <f>IF(ISNUMBER(Vic!L72),Vic!L72,"")</f>
        <v>50.099999999999987</v>
      </c>
      <c r="AG78" s="538" t="s">
        <v>757</v>
      </c>
      <c r="AH78" s="656" t="str">
        <f>IF(ISNUMBER(WA!L72),WA!L72,"")</f>
        <v/>
      </c>
      <c r="AI78" s="535" t="s">
        <v>757</v>
      </c>
      <c r="AJ78" s="657">
        <f>IF(ISNUMBER(WA!M72),WA!M72,"")</f>
        <v>8.129999999999999</v>
      </c>
      <c r="AK78" s="536" t="s">
        <v>757</v>
      </c>
      <c r="AL78" s="652"/>
      <c r="AM78" s="647">
        <f>IF(ISNUMBER(ACT!K72),ACT!K72*1000000/AM$7,"")</f>
        <v>0</v>
      </c>
      <c r="AN78" s="653">
        <f>IF(ISNUMBER(ACT!L72),ACT!L72*1000000/AN$7,"")</f>
        <v>0</v>
      </c>
      <c r="AO78" s="654" t="str">
        <f>IF(ISNUMBER(NSW!K72),NSW!K72*1000000/AO$7,"")</f>
        <v/>
      </c>
      <c r="AP78" s="654" t="str">
        <f>IF(ISNUMBER(NSW!L72),NSW!L72*1000000/AP$7,"")</f>
        <v/>
      </c>
      <c r="AQ78" s="647" t="str">
        <f>IF(ISNUMBER(NT!K72),NT!K72*1000000/AQ$7,"")</f>
        <v/>
      </c>
      <c r="AR78" s="653" t="str">
        <f>IF(ISNUMBER(NT!L72),NT!L72*1000000/AR$7,"")</f>
        <v/>
      </c>
      <c r="AS78" s="654" t="str">
        <f>IF(ISNUMBER(Qld!K72),Qld!K72*1000000/AS$7,"")</f>
        <v/>
      </c>
      <c r="AT78" s="654" t="str">
        <f>IF(ISNUMBER(Qld!L72),Qld!L72*1000000/AT$7,"")</f>
        <v/>
      </c>
      <c r="AU78" s="647">
        <f>IF(ISNUMBER(SA!K72),SA!K72*1000000/AU$7,"")</f>
        <v>573.89932433476758</v>
      </c>
      <c r="AV78" s="653">
        <f>IF(ISNUMBER(SA!L72),SA!L72*1000000/AV$7,"")</f>
        <v>1155.3863665166784</v>
      </c>
      <c r="AW78" s="654" t="str">
        <f>IF(ISNUMBER(TAS!K72),TAS!K72*1000000/AW$7,"")</f>
        <v/>
      </c>
      <c r="AX78" s="654" t="str">
        <f>IF(ISNUMBER(TAS!L72),TAS!L72*1000000/AX$7,"")</f>
        <v/>
      </c>
      <c r="AY78" s="647">
        <f>IF(ISNUMBER(Vic!K72),Vic!K72*1000000/AY$7,"")</f>
        <v>4.5415220080746952</v>
      </c>
      <c r="AZ78" s="653">
        <f>IF(ISNUMBER(Vic!L72),Vic!L72*1000000/AZ$7,"")</f>
        <v>8.540999525386372</v>
      </c>
      <c r="BA78" s="647" t="str">
        <f>IF(ISNUMBER(WA!L72),WA!L72*1000000/BA$7,"")</f>
        <v/>
      </c>
      <c r="BB78" s="655">
        <f>IF(ISNUMBER(WA!M72),WA!M72*1000000/BB$7,"")</f>
        <v>3.1584971148119525</v>
      </c>
      <c r="BD78" s="647">
        <v>0</v>
      </c>
      <c r="BE78" s="654">
        <v>0</v>
      </c>
      <c r="BF78" s="654">
        <v>0</v>
      </c>
      <c r="BG78" s="654" t="s">
        <v>855</v>
      </c>
      <c r="BH78" s="654">
        <v>165.7634416307616</v>
      </c>
      <c r="BI78" s="654" t="s">
        <v>855</v>
      </c>
      <c r="BJ78" s="654">
        <v>23.765904454100536</v>
      </c>
      <c r="BK78" s="653">
        <v>0</v>
      </c>
      <c r="BM78" s="647">
        <f t="shared" ref="BM78:BM85" si="16">IF(OR(ISNUMBER(AM78),ISNUMBER(AN78)),SUMPRODUCT(AM78:AN78,AM$7:AN$7)/SUM(AM$7:AN$7),"")</f>
        <v>0</v>
      </c>
      <c r="BN78" s="654" t="str">
        <f t="shared" ref="BN78:BN85" si="17">IF(OR(ISNUMBER(AO78),ISNUMBER(AP78)),SUMPRODUCT(AO78:AP78,AO$7:AP$7)/SUM(AO$7:AP$7),"")</f>
        <v/>
      </c>
      <c r="BO78" s="654" t="str">
        <f t="shared" ref="BO78:BO85" si="18">IF(OR(ISNUMBER(AQ78),ISNUMBER(AR78)),SUMPRODUCT(AQ78:AR78,AQ$7:AR$7)/SUM(AQ$7:AR$7),"")</f>
        <v/>
      </c>
      <c r="BP78" s="654" t="str">
        <f t="shared" ref="BP78:BP85" si="19">IF(OR(ISNUMBER(AS78),ISNUMBER(AT78)),SUMPRODUCT(AS78:AT78,AS$7:AT$7)/SUM(AS$7:AT$7),"")</f>
        <v/>
      </c>
      <c r="BQ78" s="654">
        <f t="shared" ref="BQ78:BQ85" si="20">IF(OR(ISNUMBER(AU78),ISNUMBER(AV78)),SUMPRODUCT(AU78:AV78,AU$7:AV$7)/SUM(AU$7:AV$7),"")</f>
        <v>865.19349276664218</v>
      </c>
      <c r="BR78" s="654" t="str">
        <f t="shared" ref="BR78:BR85" si="21">IF(OR(ISNUMBER(AW78),ISNUMBER(AX78)),SUMPRODUCT(AW78:AX78,AW$7:AX$7)/SUM(AW$7:AX$7),"")</f>
        <v/>
      </c>
      <c r="BS78" s="654">
        <f t="shared" ref="BS78:BS85" si="22">IF(OR(ISNUMBER(AY78),ISNUMBER(AZ78)),SUMPRODUCT(AY78:AZ78,AY$7:AZ$7)/SUM(AY$7:AZ$7),"")</f>
        <v>6.5495435048634123</v>
      </c>
      <c r="BT78" s="653">
        <f t="shared" ref="BT78:BT85" si="23">IF(OR(ISNUMBER(BA78),ISNUMBER(BB78)),SUMPRODUCT(BA78:BB78,BA$7:BB$7)/SUM(BA$7:BB$7),"")</f>
        <v>1.5846587876834002</v>
      </c>
    </row>
    <row r="79" spans="2:72">
      <c r="B79" s="1033" t="s">
        <v>71</v>
      </c>
      <c r="C79" s="1036" t="s">
        <v>169</v>
      </c>
      <c r="D79" s="639" t="s">
        <v>72</v>
      </c>
      <c r="E79" s="640" t="s">
        <v>170</v>
      </c>
      <c r="F79" s="641">
        <f>IF(ISNUMBER(ACT!K73),ACT!K73,"")</f>
        <v>150.13999999999999</v>
      </c>
      <c r="G79" s="529" t="s">
        <v>757</v>
      </c>
      <c r="H79" s="642">
        <f>IF(ISNUMBER(ACT!L73),ACT!L73,"")</f>
        <v>142.72</v>
      </c>
      <c r="I79" s="530" t="s">
        <v>757</v>
      </c>
      <c r="J79" s="642" t="str">
        <f>IF(ISNUMBER(NSW!K73),NSW!K73,"")</f>
        <v/>
      </c>
      <c r="K79" s="543"/>
      <c r="L79" s="642" t="str">
        <f>IF(ISNUMBER(NSW!L73),NSW!L73,"")</f>
        <v/>
      </c>
      <c r="M79" s="545"/>
      <c r="N79" s="641">
        <f>IF(ISNUMBER(NT!K73),NT!K73,"")</f>
        <v>43.709000000000003</v>
      </c>
      <c r="O79" s="529" t="s">
        <v>757</v>
      </c>
      <c r="P79" s="642">
        <f>IF(ISNUMBER(NT!L73),NT!L73,"")</f>
        <v>39.729399999999998</v>
      </c>
      <c r="Q79" s="530" t="s">
        <v>757</v>
      </c>
      <c r="R79" s="641">
        <f>IF(ISNUMBER(Qld!K73),Qld!K73,"")</f>
        <v>14230.204000000522</v>
      </c>
      <c r="S79" s="529" t="s">
        <v>757</v>
      </c>
      <c r="T79" s="642">
        <f>IF(ISNUMBER(Qld!L73),Qld!L73,"")</f>
        <v>12880.958001002788</v>
      </c>
      <c r="U79" s="530" t="s">
        <v>757</v>
      </c>
      <c r="V79" s="641">
        <f>IF(ISNUMBER(SA!K73),SA!K73,"")</f>
        <v>2804.55</v>
      </c>
      <c r="W79" s="529" t="s">
        <v>757</v>
      </c>
      <c r="X79" s="642">
        <f>IF(ISNUMBER(SA!L73),SA!L73,"")</f>
        <v>3427.28</v>
      </c>
      <c r="Y79" s="530" t="s">
        <v>757</v>
      </c>
      <c r="Z79" s="641">
        <f>IF(ISNUMBER(TAS!K73),TAS!K73,"")</f>
        <v>20.149999999999999</v>
      </c>
      <c r="AA79" s="529" t="s">
        <v>757</v>
      </c>
      <c r="AB79" s="642">
        <f>IF(ISNUMBER(TAS!L73),TAS!L73,"")</f>
        <v>3.6</v>
      </c>
      <c r="AC79" s="530" t="s">
        <v>757</v>
      </c>
      <c r="AD79" s="641">
        <f>IF(ISNUMBER(Vic!K73),Vic!K73,"")</f>
        <v>5557.4410000000144</v>
      </c>
      <c r="AE79" s="541" t="s">
        <v>757</v>
      </c>
      <c r="AF79" s="642">
        <f>IF(ISNUMBER(Vic!L73),Vic!L73,"")</f>
        <v>6215.2310000000143</v>
      </c>
      <c r="AG79" s="542" t="s">
        <v>757</v>
      </c>
      <c r="AH79" s="641" t="str">
        <f>IF(ISNUMBER(WA!L73),WA!L73,"")</f>
        <v/>
      </c>
      <c r="AI79" s="529" t="s">
        <v>757</v>
      </c>
      <c r="AJ79" s="642">
        <f>IF(ISNUMBER(WA!M73),WA!M73,"")</f>
        <v>1375.7783600000002</v>
      </c>
      <c r="AK79" s="530" t="s">
        <v>757</v>
      </c>
      <c r="AL79" s="652"/>
      <c r="AM79" s="644">
        <f>IF(ISNUMBER(ACT!K73),ACT!K73*1000000/AM$7,"")</f>
        <v>390.03278415969157</v>
      </c>
      <c r="AN79" s="645">
        <f>IF(ISNUMBER(ACT!L73),ACT!L73*1000000/AN$7,"")</f>
        <v>369.12890544175463</v>
      </c>
      <c r="AO79" s="646" t="str">
        <f>IF(ISNUMBER(NSW!K73),NSW!K73*1000000/AO$7,"")</f>
        <v/>
      </c>
      <c r="AP79" s="646" t="str">
        <f>IF(ISNUMBER(NSW!L73),NSW!L73*1000000/AP$7,"")</f>
        <v/>
      </c>
      <c r="AQ79" s="644">
        <f>IF(ISNUMBER(NT!K73),NT!K73*1000000/AQ$7,"")</f>
        <v>179.28587542812608</v>
      </c>
      <c r="AR79" s="645">
        <f>IF(ISNUMBER(NT!L73),NT!L73*1000000/AR$7,"")</f>
        <v>162.2257066091743</v>
      </c>
      <c r="AS79" s="644">
        <f>IF(ISNUMBER(Qld!K73),Qld!K73*1000000/AS$7,"")</f>
        <v>3023.4418555636744</v>
      </c>
      <c r="AT79" s="645">
        <f>IF(ISNUMBER(Qld!L73),Qld!L73*1000000/AT$7,"")</f>
        <v>2718.0194878903694</v>
      </c>
      <c r="AU79" s="644">
        <f>IF(ISNUMBER(SA!K73),SA!K73*1000000/AU$7,"")</f>
        <v>1667.1977191691326</v>
      </c>
      <c r="AV79" s="645">
        <f>IF(ISNUMBER(SA!L73),SA!L73*1000000/AV$7,"")</f>
        <v>2029.6841484373242</v>
      </c>
      <c r="AW79" s="646">
        <f>IF(ISNUMBER(TAS!K73),TAS!K73*1000000/AW$7,"")</f>
        <v>39.161649181589553</v>
      </c>
      <c r="AX79" s="646">
        <f>IF(ISNUMBER(TAS!L73),TAS!L73*1000000/AX$7,"")</f>
        <v>6.9905084429807527</v>
      </c>
      <c r="AY79" s="644">
        <f>IF(ISNUMBER(Vic!K73),Vic!K73*1000000/AY$7,"")</f>
        <v>955.30812301577248</v>
      </c>
      <c r="AZ79" s="645">
        <f>IF(ISNUMBER(Vic!L73),Vic!L73*1000000/AZ$7,"")</f>
        <v>1059.5665672887585</v>
      </c>
      <c r="BA79" s="644" t="str">
        <f>IF(ISNUMBER(WA!L73),WA!L73*1000000/BA$7,"")</f>
        <v/>
      </c>
      <c r="BB79" s="645">
        <f>IF(ISNUMBER(WA!M73),WA!M73*1000000/BB$7,"")</f>
        <v>534.48855850931375</v>
      </c>
      <c r="BD79" s="644">
        <v>543.32882949614191</v>
      </c>
      <c r="BE79" s="646" t="s">
        <v>855</v>
      </c>
      <c r="BF79" s="646">
        <v>1227.9530060339766</v>
      </c>
      <c r="BG79" s="646">
        <v>5268.8966314358677</v>
      </c>
      <c r="BH79" s="646">
        <v>3448.7072684981977</v>
      </c>
      <c r="BI79" s="646">
        <v>15.582391897156214</v>
      </c>
      <c r="BJ79" s="646">
        <v>1865.5820678897921</v>
      </c>
      <c r="BK79" s="645">
        <v>1306.5997036880881</v>
      </c>
      <c r="BM79" s="644">
        <f t="shared" si="16"/>
        <v>379.55784349557143</v>
      </c>
      <c r="BN79" s="646" t="str">
        <f t="shared" si="17"/>
        <v/>
      </c>
      <c r="BO79" s="646">
        <f t="shared" si="18"/>
        <v>170.73646860938373</v>
      </c>
      <c r="BP79" s="646">
        <f t="shared" si="19"/>
        <v>2870.205673130014</v>
      </c>
      <c r="BQ79" s="646">
        <f t="shared" si="20"/>
        <v>1848.7841954306016</v>
      </c>
      <c r="BR79" s="646">
        <f t="shared" si="21"/>
        <v>23.069047845690896</v>
      </c>
      <c r="BS79" s="646">
        <f t="shared" si="22"/>
        <v>1007.6532597031828</v>
      </c>
      <c r="BT79" s="645">
        <f t="shared" si="23"/>
        <v>268.15981157179056</v>
      </c>
    </row>
    <row r="80" spans="2:72">
      <c r="B80" s="1034"/>
      <c r="C80" s="1038"/>
      <c r="D80" s="648" t="s">
        <v>73</v>
      </c>
      <c r="E80" s="649" t="s">
        <v>130</v>
      </c>
      <c r="F80" s="650">
        <f>IF(ISNUMBER(ACT!K74),ACT!K74,"")</f>
        <v>330</v>
      </c>
      <c r="G80" s="532" t="s">
        <v>757</v>
      </c>
      <c r="H80" s="651">
        <f>IF(ISNUMBER(ACT!L74),ACT!L74,"")</f>
        <v>156</v>
      </c>
      <c r="I80" s="534" t="s">
        <v>757</v>
      </c>
      <c r="J80" s="651" t="str">
        <f>IF(ISNUMBER(NSW!K74),NSW!K74,"")</f>
        <v/>
      </c>
      <c r="K80" s="531"/>
      <c r="L80" s="651" t="str">
        <f>IF(ISNUMBER(NSW!L74),NSW!L74,"")</f>
        <v/>
      </c>
      <c r="M80" s="544"/>
      <c r="N80" s="650">
        <f>IF(ISNUMBER(NT!K74),NT!K74,"")</f>
        <v>11</v>
      </c>
      <c r="O80" s="532" t="s">
        <v>757</v>
      </c>
      <c r="P80" s="651" t="str">
        <f>IF(ISNUMBER(NT!L74),NT!L74,"")</f>
        <v/>
      </c>
      <c r="Q80" s="534" t="s">
        <v>757</v>
      </c>
      <c r="R80" s="650">
        <f>IF(ISNUMBER(Qld!K74),Qld!K74,"")</f>
        <v>773.05099999999982</v>
      </c>
      <c r="S80" s="532" t="s">
        <v>757</v>
      </c>
      <c r="T80" s="651">
        <f>IF(ISNUMBER(Qld!L74),Qld!L74,"")</f>
        <v>549.02600099999972</v>
      </c>
      <c r="U80" s="534" t="s">
        <v>757</v>
      </c>
      <c r="V80" s="650">
        <f>IF(ISNUMBER(SA!K74),SA!K74,"")</f>
        <v>431.84</v>
      </c>
      <c r="W80" s="532" t="s">
        <v>757</v>
      </c>
      <c r="X80" s="651">
        <f>IF(ISNUMBER(SA!L74),SA!L74,"")</f>
        <v>342.61</v>
      </c>
      <c r="Y80" s="534" t="s">
        <v>757</v>
      </c>
      <c r="Z80" s="650">
        <f>IF(ISNUMBER(TAS!K74),TAS!K74,"")</f>
        <v>14.7545</v>
      </c>
      <c r="AA80" s="532" t="s">
        <v>757</v>
      </c>
      <c r="AB80" s="651">
        <f>IF(ISNUMBER(TAS!L74),TAS!L74,"")</f>
        <v>7.6479999999999997</v>
      </c>
      <c r="AC80" s="534" t="s">
        <v>757</v>
      </c>
      <c r="AD80" s="650">
        <f>IF(ISNUMBER(Vic!K74),Vic!K74,"")</f>
        <v>275.27899999999926</v>
      </c>
      <c r="AE80" s="539" t="s">
        <v>757</v>
      </c>
      <c r="AF80" s="651">
        <f>IF(ISNUMBER(Vic!L74),Vic!L74,"")</f>
        <v>263.83199999999999</v>
      </c>
      <c r="AG80" s="540" t="s">
        <v>757</v>
      </c>
      <c r="AH80" s="650" t="str">
        <f>IF(ISNUMBER(WA!L74),WA!L74,"")</f>
        <v/>
      </c>
      <c r="AI80" s="532" t="s">
        <v>757</v>
      </c>
      <c r="AJ80" s="651">
        <f>IF(ISNUMBER(WA!M74),WA!M74,"")</f>
        <v>13.071</v>
      </c>
      <c r="AK80" s="534" t="s">
        <v>757</v>
      </c>
      <c r="AL80" s="652"/>
      <c r="AM80" s="647">
        <f>IF(ISNUMBER(ACT!K74),ACT!K74*1000000/AM$7,"")</f>
        <v>857.27200461368204</v>
      </c>
      <c r="AN80" s="653">
        <f>IF(ISNUMBER(ACT!L74),ACT!L74*1000000/AN$7,"")</f>
        <v>403.47610180012413</v>
      </c>
      <c r="AO80" s="654" t="str">
        <f>IF(ISNUMBER(NSW!K74),NSW!K74*1000000/AO$7,"")</f>
        <v/>
      </c>
      <c r="AP80" s="654" t="str">
        <f>IF(ISNUMBER(NSW!L74),NSW!L74*1000000/AP$7,"")</f>
        <v/>
      </c>
      <c r="AQ80" s="647">
        <f>IF(ISNUMBER(NT!K74),NT!K74*1000000/AQ$7,"")</f>
        <v>45.119875305071886</v>
      </c>
      <c r="AR80" s="653" t="str">
        <f>IF(ISNUMBER(NT!L74),NT!L74*1000000/AR$7,"")</f>
        <v/>
      </c>
      <c r="AS80" s="647">
        <f>IF(ISNUMBER(Qld!K74),Qld!K74*1000000/AS$7,"")</f>
        <v>164.24745210154873</v>
      </c>
      <c r="AT80" s="653">
        <f>IF(ISNUMBER(Qld!L74),Qld!L74*1000000/AT$7,"")</f>
        <v>115.85034047625524</v>
      </c>
      <c r="AU80" s="647">
        <f>IF(ISNUMBER(SA!K74),SA!K74*1000000/AU$7,"")</f>
        <v>256.7123649234274</v>
      </c>
      <c r="AV80" s="653">
        <f>IF(ISNUMBER(SA!L74),SA!L74*1000000/AV$7,"")</f>
        <v>202.89853355900647</v>
      </c>
      <c r="AW80" s="654">
        <f>IF(ISNUMBER(TAS!K74),TAS!K74*1000000/AW$7,"")</f>
        <v>28.675461679888986</v>
      </c>
      <c r="AX80" s="654">
        <f>IF(ISNUMBER(TAS!L74),TAS!L74*1000000/AX$7,"")</f>
        <v>14.850946825532445</v>
      </c>
      <c r="AY80" s="647">
        <f>IF(ISNUMBER(Vic!K74),Vic!K74*1000000/AY$7,"")</f>
        <v>47.319668314185876</v>
      </c>
      <c r="AZ80" s="653">
        <f>IF(ISNUMBER(Vic!L74),Vic!L74*1000000/AZ$7,"")</f>
        <v>44.977824087459837</v>
      </c>
      <c r="BA80" s="647" t="str">
        <f>IF(ISNUMBER(WA!L74),WA!L74*1000000/BA$7,"")</f>
        <v/>
      </c>
      <c r="BB80" s="655">
        <f>IF(ISNUMBER(WA!M74),WA!M74*1000000/BB$7,"")</f>
        <v>5.0780708225961915</v>
      </c>
      <c r="BD80" s="647">
        <v>1277.3523133064459</v>
      </c>
      <c r="BE80" s="654" t="s">
        <v>855</v>
      </c>
      <c r="BF80" s="654">
        <v>0</v>
      </c>
      <c r="BG80" s="654">
        <v>381.20884276162059</v>
      </c>
      <c r="BH80" s="654">
        <v>222.30980768024938</v>
      </c>
      <c r="BI80" s="654">
        <v>27.51071289442929</v>
      </c>
      <c r="BJ80" s="654">
        <v>125.64907387042763</v>
      </c>
      <c r="BK80" s="653">
        <v>0</v>
      </c>
      <c r="BM80" s="647">
        <f t="shared" si="16"/>
        <v>629.8747249158223</v>
      </c>
      <c r="BN80" s="654" t="str">
        <f t="shared" si="17"/>
        <v/>
      </c>
      <c r="BO80" s="654">
        <f t="shared" si="18"/>
        <v>22.508834717626669</v>
      </c>
      <c r="BP80" s="654">
        <f t="shared" si="19"/>
        <v>139.96570521191549</v>
      </c>
      <c r="BQ80" s="654">
        <f t="shared" si="20"/>
        <v>229.75448947600134</v>
      </c>
      <c r="BR80" s="654">
        <f t="shared" si="21"/>
        <v>21.76018292055117</v>
      </c>
      <c r="BS80" s="654">
        <f t="shared" si="22"/>
        <v>46.143896346712161</v>
      </c>
      <c r="BT80" s="653">
        <f t="shared" si="23"/>
        <v>2.5477337040356365</v>
      </c>
    </row>
    <row r="81" spans="2:72">
      <c r="B81" s="1035"/>
      <c r="C81" s="1037"/>
      <c r="D81" s="667" t="s">
        <v>74</v>
      </c>
      <c r="E81" s="668" t="s">
        <v>131</v>
      </c>
      <c r="F81" s="656">
        <f>IF(ISNUMBER(ACT!K75),ACT!K75,"")</f>
        <v>0</v>
      </c>
      <c r="G81" s="535" t="s">
        <v>757</v>
      </c>
      <c r="H81" s="657">
        <f>IF(ISNUMBER(ACT!L75),ACT!L75,"")</f>
        <v>0</v>
      </c>
      <c r="I81" s="536" t="s">
        <v>757</v>
      </c>
      <c r="J81" s="657">
        <f>IF(ISNUMBER(NSW!K75),NSW!K75,"")</f>
        <v>103.61464999999998</v>
      </c>
      <c r="K81" s="535" t="s">
        <v>757</v>
      </c>
      <c r="L81" s="657">
        <f>IF(ISNUMBER(NSW!L75),NSW!L75,"")</f>
        <v>300.91700000000003</v>
      </c>
      <c r="M81" s="536" t="s">
        <v>757</v>
      </c>
      <c r="N81" s="656" t="str">
        <f>IF(ISNUMBER(NT!K75),NT!K75,"")</f>
        <v/>
      </c>
      <c r="O81" s="535" t="s">
        <v>757</v>
      </c>
      <c r="P81" s="657" t="str">
        <f>IF(ISNUMBER(NT!L75),NT!L75,"")</f>
        <v/>
      </c>
      <c r="Q81" s="536" t="s">
        <v>757</v>
      </c>
      <c r="R81" s="656">
        <f>IF(ISNUMBER(Qld!K75),Qld!K75,"")</f>
        <v>19.461000000000002</v>
      </c>
      <c r="S81" s="535" t="s">
        <v>757</v>
      </c>
      <c r="T81" s="657">
        <f>IF(ISNUMBER(Qld!L75),Qld!L75,"")</f>
        <v>370.54900100000009</v>
      </c>
      <c r="U81" s="536" t="s">
        <v>757</v>
      </c>
      <c r="V81" s="656">
        <f>IF(ISNUMBER(SA!K75),SA!K75,"")</f>
        <v>4.3099999999999996</v>
      </c>
      <c r="W81" s="535" t="s">
        <v>757</v>
      </c>
      <c r="X81" s="657">
        <f>IF(ISNUMBER(SA!L75),SA!L75,"")</f>
        <v>6.66</v>
      </c>
      <c r="Y81" s="536" t="s">
        <v>757</v>
      </c>
      <c r="Z81" s="656" t="str">
        <f>IF(ISNUMBER(TAS!K75),TAS!K75,"")</f>
        <v/>
      </c>
      <c r="AA81" s="535" t="s">
        <v>757</v>
      </c>
      <c r="AB81" s="657" t="str">
        <f>IF(ISNUMBER(TAS!L75),TAS!L75,"")</f>
        <v/>
      </c>
      <c r="AC81" s="536" t="s">
        <v>757</v>
      </c>
      <c r="AD81" s="656">
        <f>IF(ISNUMBER(Vic!K75),Vic!K75,"")</f>
        <v>214.43000000000029</v>
      </c>
      <c r="AE81" s="537" t="s">
        <v>757</v>
      </c>
      <c r="AF81" s="657">
        <f>IF(ISNUMBER(Vic!L75),Vic!L75,"")</f>
        <v>204.23900000000009</v>
      </c>
      <c r="AG81" s="538" t="s">
        <v>757</v>
      </c>
      <c r="AH81" s="656" t="str">
        <f>IF(ISNUMBER(WA!L75),WA!L75,"")</f>
        <v/>
      </c>
      <c r="AI81" s="535" t="s">
        <v>757</v>
      </c>
      <c r="AJ81" s="657">
        <f>IF(ISNUMBER(WA!M75),WA!M75,"")</f>
        <v>11.022</v>
      </c>
      <c r="AK81" s="536" t="s">
        <v>757</v>
      </c>
      <c r="AL81" s="652"/>
      <c r="AM81" s="669">
        <f>IF(ISNUMBER(ACT!K75),ACT!K75*1000000/AM$7,"")</f>
        <v>0</v>
      </c>
      <c r="AN81" s="670">
        <f>IF(ISNUMBER(ACT!L75),ACT!L75*1000000/AN$7,"")</f>
        <v>0</v>
      </c>
      <c r="AO81" s="671">
        <f>IF(ISNUMBER(NSW!K75),NSW!K75*1000000/AO$7,"")</f>
        <v>13.819393790501202</v>
      </c>
      <c r="AP81" s="671">
        <f>IF(ISNUMBER(NSW!L75),NSW!L75*1000000/AP$7,"")</f>
        <v>39.886642971088797</v>
      </c>
      <c r="AQ81" s="669" t="str">
        <f>IF(ISNUMBER(NT!K75),NT!K75*1000000/AQ$7,"")</f>
        <v/>
      </c>
      <c r="AR81" s="670" t="str">
        <f>IF(ISNUMBER(NT!L75),NT!L75*1000000/AR$7,"")</f>
        <v/>
      </c>
      <c r="AS81" s="669">
        <f>IF(ISNUMBER(Qld!K75),Qld!K75*1000000/AS$7,"")</f>
        <v>4.1348108538094408</v>
      </c>
      <c r="AT81" s="670">
        <f>IF(ISNUMBER(Qld!L75),Qld!L75*1000000/AT$7,"")</f>
        <v>78.189790375677063</v>
      </c>
      <c r="AU81" s="669">
        <f>IF(ISNUMBER(SA!K75),SA!K75*1000000/AU$7,"")</f>
        <v>2.5621301704797426</v>
      </c>
      <c r="AV81" s="670">
        <f>IF(ISNUMBER(SA!L75),SA!L75*1000000/AV$7,"")</f>
        <v>3.9441470870756339</v>
      </c>
      <c r="AW81" s="671" t="str">
        <f>IF(ISNUMBER(TAS!K75),TAS!K75*1000000/AW$7,"")</f>
        <v/>
      </c>
      <c r="AX81" s="671" t="str">
        <f>IF(ISNUMBER(TAS!L75),TAS!L75*1000000/AX$7,"")</f>
        <v/>
      </c>
      <c r="AY81" s="669">
        <f>IF(ISNUMBER(Vic!K75),Vic!K75*1000000/AY$7,"")</f>
        <v>36.8599002343474</v>
      </c>
      <c r="AZ81" s="670">
        <f>IF(ISNUMBER(Vic!L75),Vic!L75*1000000/AZ$7,"")</f>
        <v>34.818467107093582</v>
      </c>
      <c r="BA81" s="669" t="str">
        <f>IF(ISNUMBER(WA!L75),WA!L75*1000000/BA$7,"")</f>
        <v/>
      </c>
      <c r="BB81" s="672">
        <f>IF(ISNUMBER(WA!M75),WA!M75*1000000/BB$7,"")</f>
        <v>4.2820363098963528</v>
      </c>
      <c r="BD81" s="669">
        <v>0</v>
      </c>
      <c r="BE81" s="671">
        <v>50.08320889986112</v>
      </c>
      <c r="BF81" s="671">
        <v>0</v>
      </c>
      <c r="BG81" s="671">
        <v>16.258065123391226</v>
      </c>
      <c r="BH81" s="671">
        <v>3.2068221109488788</v>
      </c>
      <c r="BI81" s="671" t="s">
        <v>855</v>
      </c>
      <c r="BJ81" s="671">
        <v>123.88709015804181</v>
      </c>
      <c r="BK81" s="670">
        <v>0</v>
      </c>
      <c r="BM81" s="669">
        <f t="shared" si="16"/>
        <v>0</v>
      </c>
      <c r="BN81" s="671">
        <f t="shared" si="17"/>
        <v>26.893339057720492</v>
      </c>
      <c r="BO81" s="671" t="str">
        <f t="shared" si="18"/>
        <v/>
      </c>
      <c r="BP81" s="671">
        <f t="shared" si="19"/>
        <v>41.28959568041445</v>
      </c>
      <c r="BQ81" s="671">
        <f t="shared" si="20"/>
        <v>3.2544473491532502</v>
      </c>
      <c r="BR81" s="671" t="str">
        <f t="shared" si="21"/>
        <v/>
      </c>
      <c r="BS81" s="671">
        <f t="shared" si="22"/>
        <v>35.834955954491143</v>
      </c>
      <c r="BT81" s="670">
        <f t="shared" si="23"/>
        <v>2.148352909944212</v>
      </c>
    </row>
    <row r="82" spans="2:72">
      <c r="B82" s="1033" t="s">
        <v>75</v>
      </c>
      <c r="C82" s="1036" t="s">
        <v>76</v>
      </c>
      <c r="D82" s="648" t="s">
        <v>77</v>
      </c>
      <c r="E82" s="649" t="s">
        <v>171</v>
      </c>
      <c r="F82" s="641">
        <f>IF(ISNUMBER(ACT!K76),ACT!K76,"")</f>
        <v>24.14</v>
      </c>
      <c r="G82" s="529" t="s">
        <v>757</v>
      </c>
      <c r="H82" s="642">
        <f>IF(ISNUMBER(ACT!L76),ACT!L76,"")</f>
        <v>28.939</v>
      </c>
      <c r="I82" s="530" t="s">
        <v>757</v>
      </c>
      <c r="J82" s="642">
        <f>IF(ISNUMBER(NSW!K76),NSW!K76,"")</f>
        <v>1121.5008050000013</v>
      </c>
      <c r="K82" s="529" t="s">
        <v>757</v>
      </c>
      <c r="L82" s="642">
        <f>IF(ISNUMBER(NSW!L76),NSW!L76,"")</f>
        <v>1855.4925449999994</v>
      </c>
      <c r="M82" s="530" t="s">
        <v>757</v>
      </c>
      <c r="N82" s="641">
        <f>IF(ISNUMBER(NT!K76),NT!K76,"")</f>
        <v>1.35</v>
      </c>
      <c r="O82" s="529" t="s">
        <v>757</v>
      </c>
      <c r="P82" s="642">
        <f>IF(ISNUMBER(NT!L76),NT!L76,"")</f>
        <v>26.24</v>
      </c>
      <c r="Q82" s="530" t="s">
        <v>757</v>
      </c>
      <c r="R82" s="641">
        <f>IF(ISNUMBER(Qld!K76),Qld!K76,"")</f>
        <v>276.52499999999998</v>
      </c>
      <c r="S82" s="529" t="s">
        <v>757</v>
      </c>
      <c r="T82" s="642">
        <f>IF(ISNUMBER(Qld!L76),Qld!L76,"")</f>
        <v>369.28000099999991</v>
      </c>
      <c r="U82" s="530" t="s">
        <v>757</v>
      </c>
      <c r="V82" s="641">
        <f>IF(ISNUMBER(SA!K76),SA!K76,"")</f>
        <v>152.47</v>
      </c>
      <c r="W82" s="529" t="s">
        <v>757</v>
      </c>
      <c r="X82" s="642">
        <f>IF(ISNUMBER(SA!L76),SA!L76,"")</f>
        <v>205.24</v>
      </c>
      <c r="Y82" s="530" t="s">
        <v>757</v>
      </c>
      <c r="Z82" s="641">
        <f>IF(ISNUMBER(TAS!K76),TAS!K76,"")</f>
        <v>6.5759999999999996</v>
      </c>
      <c r="AA82" s="529" t="s">
        <v>757</v>
      </c>
      <c r="AB82" s="642">
        <f>IF(ISNUMBER(TAS!L76),TAS!L76,"")</f>
        <v>16.301100000000002</v>
      </c>
      <c r="AC82" s="530" t="s">
        <v>757</v>
      </c>
      <c r="AD82" s="641">
        <f>IF(ISNUMBER(Vic!K76),Vic!K76,"")</f>
        <v>31.976000000000003</v>
      </c>
      <c r="AE82" s="541" t="s">
        <v>757</v>
      </c>
      <c r="AF82" s="642">
        <f>IF(ISNUMBER(Vic!L76),Vic!L76,"")</f>
        <v>34.897999999999989</v>
      </c>
      <c r="AG82" s="542" t="s">
        <v>757</v>
      </c>
      <c r="AH82" s="641">
        <f>IF(ISNUMBER(WA!L76),WA!L76,"")</f>
        <v>182.98432</v>
      </c>
      <c r="AI82" s="529" t="s">
        <v>757</v>
      </c>
      <c r="AJ82" s="642">
        <f>IF(ISNUMBER(WA!M76),WA!M76,"")</f>
        <v>119.33240000000001</v>
      </c>
      <c r="AK82" s="530" t="s">
        <v>757</v>
      </c>
      <c r="AL82" s="652"/>
      <c r="AM82" s="647">
        <f>IF(ISNUMBER(ACT!K76),ACT!K76*1000000/AM$7,"")</f>
        <v>62.710746034467533</v>
      </c>
      <c r="AN82" s="653">
        <f>IF(ISNUMBER(ACT!L76),ACT!L76*1000000/AN$7,"")</f>
        <v>74.847403269190977</v>
      </c>
      <c r="AO82" s="654">
        <f>IF(ISNUMBER(NSW!K76),NSW!K76*1000000/AO$7,"")</f>
        <v>149.57789521712536</v>
      </c>
      <c r="AP82" s="654">
        <f>IF(ISNUMBER(NSW!L76),NSW!L76*1000000/AP$7,"")</f>
        <v>245.94612028543375</v>
      </c>
      <c r="AQ82" s="647">
        <f>IF(ISNUMBER(NT!K76),NT!K76*1000000/AQ$7,"")</f>
        <v>5.5374392419860952</v>
      </c>
      <c r="AR82" s="653">
        <f>IF(ISNUMBER(NT!L76),NT!L76*1000000/AR$7,"")</f>
        <v>107.14489877583686</v>
      </c>
      <c r="AS82" s="644">
        <f>IF(ISNUMBER(Qld!K76),Qld!K76*1000000/AS$7,"")</f>
        <v>58.752303137025606</v>
      </c>
      <c r="AT82" s="645">
        <f>IF(ISNUMBER(Qld!L76),Qld!L76*1000000/AT$7,"")</f>
        <v>77.922017844327712</v>
      </c>
      <c r="AU82" s="647">
        <f>IF(ISNUMBER(SA!K76),SA!K76*1000000/AU$7,"")</f>
        <v>90.637584012307741</v>
      </c>
      <c r="AV82" s="653">
        <f>IF(ISNUMBER(SA!L76),SA!L76*1000000/AV$7,"")</f>
        <v>121.54605828099146</v>
      </c>
      <c r="AW82" s="654">
        <f>IF(ISNUMBER(TAS!K76),TAS!K76*1000000/AW$7,"")</f>
        <v>12.780496526954487</v>
      </c>
      <c r="AX82" s="654">
        <f>IF(ISNUMBER(TAS!L76),TAS!L76*1000000/AX$7,"")</f>
        <v>31.653604772187101</v>
      </c>
      <c r="AY82" s="647">
        <f>IF(ISNUMBER(Vic!K76),Vic!K76*1000000/AY$7,"")</f>
        <v>5.4965824273352188</v>
      </c>
      <c r="AZ82" s="653">
        <f>IF(ISNUMBER(Vic!L76),Vic!L76*1000000/AZ$7,"")</f>
        <v>5.9493772741902919</v>
      </c>
      <c r="BA82" s="647">
        <f>IF(ISNUMBER(WA!L76),WA!L76*1000000/BA$7,"")</f>
        <v>71.577983854847744</v>
      </c>
      <c r="BB82" s="655">
        <f>IF(ISNUMBER(WA!M76),WA!M76*1000000/BB$7,"")</f>
        <v>46.360521660957673</v>
      </c>
      <c r="BD82" s="647">
        <v>129.38554484174543</v>
      </c>
      <c r="BE82" s="654">
        <v>316.86021287412041</v>
      </c>
      <c r="BF82" s="654">
        <v>1225.6839517125513</v>
      </c>
      <c r="BG82" s="654">
        <v>238.95077293194737</v>
      </c>
      <c r="BH82" s="654">
        <v>206.44290572719322</v>
      </c>
      <c r="BI82" s="654">
        <v>12.837943124269573</v>
      </c>
      <c r="BJ82" s="654">
        <v>210.44705803846804</v>
      </c>
      <c r="BK82" s="653">
        <v>212.45014749665268</v>
      </c>
      <c r="BM82" s="647">
        <f t="shared" si="16"/>
        <v>68.792429061331134</v>
      </c>
      <c r="BN82" s="654">
        <f t="shared" si="17"/>
        <v>197.91106958906474</v>
      </c>
      <c r="BO82" s="654">
        <f t="shared" si="18"/>
        <v>56.456249987210889</v>
      </c>
      <c r="BP82" s="654">
        <f t="shared" si="19"/>
        <v>68.370111821003391</v>
      </c>
      <c r="BQ82" s="654">
        <f t="shared" si="20"/>
        <v>106.12109036149582</v>
      </c>
      <c r="BR82" s="654">
        <f t="shared" si="21"/>
        <v>22.221175346132849</v>
      </c>
      <c r="BS82" s="654">
        <f t="shared" si="22"/>
        <v>5.7239175685341852</v>
      </c>
      <c r="BT82" s="653">
        <f t="shared" si="23"/>
        <v>58.926057443003934</v>
      </c>
    </row>
    <row r="83" spans="2:72">
      <c r="B83" s="1034"/>
      <c r="C83" s="1038"/>
      <c r="D83" s="648" t="s">
        <v>78</v>
      </c>
      <c r="E83" s="649" t="s">
        <v>132</v>
      </c>
      <c r="F83" s="650">
        <f>IF(ISNUMBER(ACT!K77),ACT!K77,"")</f>
        <v>13</v>
      </c>
      <c r="G83" s="532" t="s">
        <v>757</v>
      </c>
      <c r="H83" s="651">
        <f>IF(ISNUMBER(ACT!L77),ACT!L77,"")</f>
        <v>7.44</v>
      </c>
      <c r="I83" s="534" t="s">
        <v>757</v>
      </c>
      <c r="J83" s="651">
        <f>IF(ISNUMBER(NSW!K77),NSW!K77,"")</f>
        <v>77.043499999999995</v>
      </c>
      <c r="K83" s="532" t="s">
        <v>757</v>
      </c>
      <c r="L83" s="651">
        <f>IF(ISNUMBER(NSW!L77),NSW!L77,"")</f>
        <v>97.485500000000002</v>
      </c>
      <c r="M83" s="534" t="s">
        <v>757</v>
      </c>
      <c r="N83" s="650" t="str">
        <f>IF(ISNUMBER(NT!K77),NT!K77,"")</f>
        <v/>
      </c>
      <c r="O83" s="532" t="s">
        <v>757</v>
      </c>
      <c r="P83" s="651" t="str">
        <f>IF(ISNUMBER(NT!L77),NT!L77,"")</f>
        <v/>
      </c>
      <c r="Q83" s="534" t="s">
        <v>757</v>
      </c>
      <c r="R83" s="650">
        <f>IF(ISNUMBER(Qld!K77),Qld!K77,"")</f>
        <v>65.201000000000008</v>
      </c>
      <c r="S83" s="532" t="s">
        <v>757</v>
      </c>
      <c r="T83" s="651">
        <f>IF(ISNUMBER(Qld!L77),Qld!L77,"")</f>
        <v>80.086000999999953</v>
      </c>
      <c r="U83" s="534" t="s">
        <v>757</v>
      </c>
      <c r="V83" s="650">
        <f>IF(ISNUMBER(SA!K77),SA!K77,"")</f>
        <v>2.2200000000000002</v>
      </c>
      <c r="W83" s="532" t="s">
        <v>757</v>
      </c>
      <c r="X83" s="651">
        <f>IF(ISNUMBER(SA!L77),SA!L77,"")</f>
        <v>1.62</v>
      </c>
      <c r="Y83" s="534" t="s">
        <v>757</v>
      </c>
      <c r="Z83" s="650">
        <f>IF(ISNUMBER(TAS!K77),TAS!K77,"")</f>
        <v>6.2</v>
      </c>
      <c r="AA83" s="532" t="s">
        <v>757</v>
      </c>
      <c r="AB83" s="651">
        <f>IF(ISNUMBER(TAS!L77),TAS!L77,"")</f>
        <v>1.52</v>
      </c>
      <c r="AC83" s="534" t="s">
        <v>757</v>
      </c>
      <c r="AD83" s="650">
        <f>IF(ISNUMBER(Vic!K77),Vic!K77,"")</f>
        <v>210.24</v>
      </c>
      <c r="AE83" s="539" t="s">
        <v>757</v>
      </c>
      <c r="AF83" s="651">
        <f>IF(ISNUMBER(Vic!L77),Vic!L77,"")</f>
        <v>180.49799999999996</v>
      </c>
      <c r="AG83" s="540" t="s">
        <v>757</v>
      </c>
      <c r="AH83" s="650">
        <f>IF(ISNUMBER(WA!L77),WA!L77,"")</f>
        <v>11.335000000000001</v>
      </c>
      <c r="AI83" s="532" t="s">
        <v>757</v>
      </c>
      <c r="AJ83" s="651">
        <f>IF(ISNUMBER(WA!M77),WA!M77,"")</f>
        <v>24.273999999999997</v>
      </c>
      <c r="AK83" s="534" t="s">
        <v>757</v>
      </c>
      <c r="AL83" s="652"/>
      <c r="AM83" s="647">
        <f>IF(ISNUMBER(ACT!K77),ACT!K77*1000000/AM$7,"")</f>
        <v>33.771321393872327</v>
      </c>
      <c r="AN83" s="653">
        <f>IF(ISNUMBER(ACT!L77),ACT!L77*1000000/AN$7,"")</f>
        <v>19.242706393544381</v>
      </c>
      <c r="AO83" s="654">
        <f>IF(ISNUMBER(NSW!K77),NSW!K77*1000000/AO$7,"")</f>
        <v>10.275520551374536</v>
      </c>
      <c r="AP83" s="654">
        <f>IF(ISNUMBER(NSW!L77),NSW!L77*1000000/AP$7,"")</f>
        <v>12.921733678582719</v>
      </c>
      <c r="AQ83" s="647" t="str">
        <f>IF(ISNUMBER(NT!K77),NT!K77*1000000/AQ$7,"")</f>
        <v/>
      </c>
      <c r="AR83" s="653" t="str">
        <f>IF(ISNUMBER(NT!L77),NT!L77*1000000/AR$7,"")</f>
        <v/>
      </c>
      <c r="AS83" s="647">
        <f>IF(ISNUMBER(Qld!K77),Qld!K77*1000000/AS$7,"")</f>
        <v>13.853029262588217</v>
      </c>
      <c r="AT83" s="653">
        <f>IF(ISNUMBER(Qld!L77),Qld!L77*1000000/AT$7,"")</f>
        <v>16.89900016817549</v>
      </c>
      <c r="AU83" s="647">
        <f>IF(ISNUMBER(SA!K77),SA!K77*1000000/AU$7,"")</f>
        <v>1.3197050994118396</v>
      </c>
      <c r="AV83" s="653">
        <f>IF(ISNUMBER(SA!L77),SA!L77*1000000/AV$7,"")</f>
        <v>0.95938712928866776</v>
      </c>
      <c r="AW83" s="654">
        <f>IF(ISNUMBER(TAS!K77),TAS!K77*1000000/AW$7,"")</f>
        <v>12.049738209719862</v>
      </c>
      <c r="AX83" s="654">
        <f>IF(ISNUMBER(TAS!L77),TAS!L77*1000000/AX$7,"")</f>
        <v>2.95154800925854</v>
      </c>
      <c r="AY83" s="647">
        <f>IF(ISNUMBER(Vic!K77),Vic!K77*1000000/AY$7,"")</f>
        <v>36.139651286056925</v>
      </c>
      <c r="AZ83" s="653">
        <f>IF(ISNUMBER(Vic!L77),Vic!L77*1000000/AZ$7,"")</f>
        <v>30.771124397868054</v>
      </c>
      <c r="BA83" s="647">
        <f>IF(ISNUMBER(WA!L77),WA!L77*1000000/BA$7,"")</f>
        <v>4.4339124084222039</v>
      </c>
      <c r="BB83" s="655">
        <f>IF(ISNUMBER(WA!M77),WA!M77*1000000/BB$7,"")</f>
        <v>9.4304254569428458</v>
      </c>
      <c r="BD83" s="647">
        <v>53.649882058626361</v>
      </c>
      <c r="BE83" s="654">
        <v>19.437298569062246</v>
      </c>
      <c r="BF83" s="654">
        <v>0</v>
      </c>
      <c r="BG83" s="654">
        <v>34.013583613410596</v>
      </c>
      <c r="BH83" s="654">
        <v>6.2404638844349689</v>
      </c>
      <c r="BI83" s="654">
        <v>12.709388391118036</v>
      </c>
      <c r="BJ83" s="654">
        <v>82.964232805774543</v>
      </c>
      <c r="BK83" s="653">
        <v>3.7499889201143812</v>
      </c>
      <c r="BM83" s="647">
        <f t="shared" si="16"/>
        <v>26.491027525266272</v>
      </c>
      <c r="BN83" s="654">
        <f t="shared" si="17"/>
        <v>11.602720262814787</v>
      </c>
      <c r="BO83" s="654" t="str">
        <f t="shared" si="18"/>
        <v/>
      </c>
      <c r="BP83" s="654">
        <f t="shared" si="19"/>
        <v>15.381250515445032</v>
      </c>
      <c r="BQ83" s="654">
        <f t="shared" si="20"/>
        <v>1.1392049061757958</v>
      </c>
      <c r="BR83" s="654">
        <f t="shared" si="21"/>
        <v>7.4986547102624721</v>
      </c>
      <c r="BS83" s="654">
        <f t="shared" si="22"/>
        <v>33.444269864131208</v>
      </c>
      <c r="BT83" s="653">
        <f t="shared" si="23"/>
        <v>6.9407275240612796</v>
      </c>
    </row>
    <row r="84" spans="2:72">
      <c r="B84" s="1034"/>
      <c r="C84" s="1038"/>
      <c r="D84" s="648" t="s">
        <v>134</v>
      </c>
      <c r="E84" s="649" t="s">
        <v>133</v>
      </c>
      <c r="F84" s="650">
        <f>IF(ISNUMBER(ACT!K78),ACT!K78,"")</f>
        <v>1278.3</v>
      </c>
      <c r="G84" s="531"/>
      <c r="H84" s="651">
        <f>IF(ISNUMBER(ACT!L78),ACT!L78,"")</f>
        <v>1659.74</v>
      </c>
      <c r="I84" s="544"/>
      <c r="J84" s="651" t="str">
        <f>IF(ISNUMBER(NSW!K78),NSW!K78,"")</f>
        <v/>
      </c>
      <c r="K84" s="531"/>
      <c r="L84" s="651" t="str">
        <f>IF(ISNUMBER(NSW!L78),NSW!L78,"")</f>
        <v/>
      </c>
      <c r="M84" s="544"/>
      <c r="N84" s="650" t="str">
        <f>IF(ISNUMBER(NT!K78),NT!K78,"")</f>
        <v/>
      </c>
      <c r="O84" s="531"/>
      <c r="P84" s="651" t="str">
        <f>IF(ISNUMBER(NT!L78),NT!L78,"")</f>
        <v/>
      </c>
      <c r="Q84" s="544"/>
      <c r="R84" s="650" t="str">
        <f>IF(ISNUMBER(Qld!K78),Qld!K78,"")</f>
        <v/>
      </c>
      <c r="S84" s="531"/>
      <c r="T84" s="651" t="str">
        <f>IF(ISNUMBER(Qld!L78),Qld!L78,"")</f>
        <v/>
      </c>
      <c r="U84" s="544"/>
      <c r="V84" s="650">
        <f>IF(ISNUMBER(SA!K78),SA!K78,"")</f>
        <v>0.2</v>
      </c>
      <c r="W84" s="531"/>
      <c r="X84" s="651">
        <f>IF(ISNUMBER(SA!L78),SA!L78,"")</f>
        <v>0</v>
      </c>
      <c r="Y84" s="544"/>
      <c r="Z84" s="650" t="str">
        <f>IF(ISNUMBER(TAS!K78),TAS!K78,"")</f>
        <v/>
      </c>
      <c r="AA84" s="531"/>
      <c r="AB84" s="651" t="str">
        <f>IF(ISNUMBER(TAS!L78),TAS!L78,"")</f>
        <v/>
      </c>
      <c r="AC84" s="544"/>
      <c r="AD84" s="650" t="str">
        <f>IF(ISNUMBER(Vic!K78),Vic!K78,"")</f>
        <v/>
      </c>
      <c r="AE84" s="546"/>
      <c r="AF84" s="651" t="str">
        <f>IF(ISNUMBER(Vic!L78),Vic!L78,"")</f>
        <v/>
      </c>
      <c r="AG84" s="547"/>
      <c r="AH84" s="650"/>
      <c r="AI84" s="531"/>
      <c r="AJ84" s="651"/>
      <c r="AK84" s="544"/>
      <c r="AL84" s="652"/>
      <c r="AM84" s="647">
        <f>IF(ISNUMBER(ACT!K78),ACT!K78*1000000/AM$7,"")</f>
        <v>3320.7600105989995</v>
      </c>
      <c r="AN84" s="653">
        <f>IF(ISNUMBER(ACT!L78),ACT!L78*1000000/AN$7,"")</f>
        <v>4292.7270846265255</v>
      </c>
      <c r="AO84" s="654" t="str">
        <f>IF(ISNUMBER(NSW!K78),NSW!K78*1000000/AO$7,"")</f>
        <v/>
      </c>
      <c r="AP84" s="654" t="str">
        <f>IF(ISNUMBER(NSW!L78),NSW!L78*1000000/AP$7,"")</f>
        <v/>
      </c>
      <c r="AQ84" s="647" t="str">
        <f>IF(ISNUMBER(NT!K78),NT!K78*1000000/AQ$7,"")</f>
        <v/>
      </c>
      <c r="AR84" s="653" t="str">
        <f>IF(ISNUMBER(NT!L78),NT!L78*1000000/AR$7,"")</f>
        <v/>
      </c>
      <c r="AS84" s="647" t="str">
        <f>IF(ISNUMBER(Qld!K78),Qld!K78*1000000/AS$7,"")</f>
        <v/>
      </c>
      <c r="AT84" s="653" t="str">
        <f>IF(ISNUMBER(Qld!L78),Qld!L78*1000000/AT$7,"")</f>
        <v/>
      </c>
      <c r="AU84" s="647">
        <f>IF(ISNUMBER(SA!K78),SA!K78*1000000/AU$7,"")</f>
        <v>0.11889235129836392</v>
      </c>
      <c r="AV84" s="653">
        <f>IF(ISNUMBER(SA!L78),SA!L78*1000000/AV$7,"")</f>
        <v>0</v>
      </c>
      <c r="AW84" s="654" t="str">
        <f>IF(ISNUMBER(TAS!K78),TAS!K78*1000000/AW$7,"")</f>
        <v/>
      </c>
      <c r="AX84" s="654" t="str">
        <f>IF(ISNUMBER(TAS!L78),TAS!L78*1000000/AX$7,"")</f>
        <v/>
      </c>
      <c r="AY84" s="647" t="str">
        <f>IF(ISNUMBER(Vic!K78),Vic!K78*1000000/AY$7,"")</f>
        <v/>
      </c>
      <c r="AZ84" s="653" t="str">
        <f>IF(ISNUMBER(Vic!L78),Vic!L78*1000000/AZ$7,"")</f>
        <v/>
      </c>
      <c r="BA84" s="647">
        <f>IF(ISNUMBER(WA!L78),WA!L78*1000000/BA$7,"")</f>
        <v>7931.1900839959426</v>
      </c>
      <c r="BB84" s="655">
        <f>IF(ISNUMBER(WA!M78),WA!M78*1000000/BB$7,"")</f>
        <v>6988.9495724373928</v>
      </c>
      <c r="BD84" s="647" t="s">
        <v>855</v>
      </c>
      <c r="BE84" s="654" t="s">
        <v>855</v>
      </c>
      <c r="BF84" s="654" t="s">
        <v>855</v>
      </c>
      <c r="BG84" s="654" t="s">
        <v>855</v>
      </c>
      <c r="BH84" s="654" t="s">
        <v>855</v>
      </c>
      <c r="BI84" s="654" t="s">
        <v>855</v>
      </c>
      <c r="BJ84" s="654" t="s">
        <v>855</v>
      </c>
      <c r="BK84" s="653" t="s">
        <v>855</v>
      </c>
      <c r="BM84" s="647">
        <f t="shared" si="16"/>
        <v>3807.8130386660137</v>
      </c>
      <c r="BN84" s="654" t="str">
        <f t="shared" si="17"/>
        <v/>
      </c>
      <c r="BO84" s="654" t="str">
        <f t="shared" si="18"/>
        <v/>
      </c>
      <c r="BP84" s="654" t="str">
        <f t="shared" si="19"/>
        <v/>
      </c>
      <c r="BQ84" s="654">
        <f t="shared" si="20"/>
        <v>5.9333588863322705E-2</v>
      </c>
      <c r="BR84" s="654" t="str">
        <f t="shared" si="21"/>
        <v/>
      </c>
      <c r="BS84" s="654" t="str">
        <f t="shared" si="22"/>
        <v/>
      </c>
      <c r="BT84" s="653">
        <f t="shared" si="23"/>
        <v>7458.4558523417672</v>
      </c>
    </row>
    <row r="85" spans="2:72">
      <c r="B85" s="1035"/>
      <c r="C85" s="1037"/>
      <c r="D85" s="648" t="s">
        <v>172</v>
      </c>
      <c r="E85" s="649" t="s">
        <v>135</v>
      </c>
      <c r="F85" s="656">
        <f>IF(ISNUMBER(ACT!K79),ACT!K79,"")</f>
        <v>0</v>
      </c>
      <c r="G85" s="535" t="s">
        <v>757</v>
      </c>
      <c r="H85" s="657">
        <f>IF(ISNUMBER(ACT!L79),ACT!L79,"")</f>
        <v>0</v>
      </c>
      <c r="I85" s="536" t="s">
        <v>757</v>
      </c>
      <c r="J85" s="657" t="str">
        <f>IF(ISNUMBER(NSW!K79),NSW!K79,"")</f>
        <v/>
      </c>
      <c r="K85" s="535" t="s">
        <v>757</v>
      </c>
      <c r="L85" s="657" t="str">
        <f>IF(ISNUMBER(NSW!L79),NSW!L79,"")</f>
        <v/>
      </c>
      <c r="M85" s="536" t="s">
        <v>757</v>
      </c>
      <c r="N85" s="656" t="str">
        <f>IF(ISNUMBER(NT!K79),NT!K79,"")</f>
        <v/>
      </c>
      <c r="O85" s="535" t="s">
        <v>757</v>
      </c>
      <c r="P85" s="657" t="str">
        <f>IF(ISNUMBER(NT!L79),NT!L79,"")</f>
        <v/>
      </c>
      <c r="Q85" s="536" t="s">
        <v>757</v>
      </c>
      <c r="R85" s="656">
        <f>IF(ISNUMBER(Qld!K79),Qld!K79,"")</f>
        <v>552.07100000000003</v>
      </c>
      <c r="S85" s="535" t="s">
        <v>757</v>
      </c>
      <c r="T85" s="657">
        <f>IF(ISNUMBER(Qld!L79),Qld!L79,"")</f>
        <v>302.940001</v>
      </c>
      <c r="U85" s="536" t="s">
        <v>757</v>
      </c>
      <c r="V85" s="656">
        <f>IF(ISNUMBER(SA!K79),SA!K79,"")</f>
        <v>0.96</v>
      </c>
      <c r="W85" s="535" t="s">
        <v>757</v>
      </c>
      <c r="X85" s="657">
        <f>IF(ISNUMBER(SA!L79),SA!L79,"")</f>
        <v>0</v>
      </c>
      <c r="Y85" s="536" t="s">
        <v>757</v>
      </c>
      <c r="Z85" s="656" t="str">
        <f>IF(ISNUMBER(TAS!K79),TAS!K79,"")</f>
        <v/>
      </c>
      <c r="AA85" s="535" t="s">
        <v>757</v>
      </c>
      <c r="AB85" s="657" t="str">
        <f>IF(ISNUMBER(TAS!L79),TAS!L79,"")</f>
        <v/>
      </c>
      <c r="AC85" s="536" t="s">
        <v>757</v>
      </c>
      <c r="AD85" s="656">
        <f>IF(ISNUMBER(Vic!K79),Vic!K79,"")</f>
        <v>2.12</v>
      </c>
      <c r="AE85" s="537" t="s">
        <v>757</v>
      </c>
      <c r="AF85" s="657">
        <f>IF(ISNUMBER(Vic!L79),Vic!L79,"")</f>
        <v>9.4</v>
      </c>
      <c r="AG85" s="538" t="s">
        <v>757</v>
      </c>
      <c r="AH85" s="656" t="str">
        <f>IF(ISNUMBER(WA!L79),WA!L79,"")</f>
        <v/>
      </c>
      <c r="AI85" s="535" t="s">
        <v>757</v>
      </c>
      <c r="AJ85" s="657" t="str">
        <f>IF(ISNUMBER(WA!M79),WA!M79,"")</f>
        <v/>
      </c>
      <c r="AK85" s="536" t="s">
        <v>757</v>
      </c>
      <c r="AL85" s="652"/>
      <c r="AM85" s="669">
        <f>IF(ISNUMBER(ACT!K79),ACT!K79*1000000/AM$7,"")</f>
        <v>0</v>
      </c>
      <c r="AN85" s="670">
        <f>IF(ISNUMBER(ACT!L79),ACT!L79*1000000/AN$7,"")</f>
        <v>0</v>
      </c>
      <c r="AO85" s="671" t="str">
        <f>IF(ISNUMBER(NSW!K79),NSW!K79*1000000/AO$7,"")</f>
        <v/>
      </c>
      <c r="AP85" s="671" t="str">
        <f>IF(ISNUMBER(NSW!L79),NSW!L79*1000000/AP$7,"")</f>
        <v/>
      </c>
      <c r="AQ85" s="669" t="str">
        <f>IF(ISNUMBER(NT!K79),NT!K79*1000000/AQ$7,"")</f>
        <v/>
      </c>
      <c r="AR85" s="670" t="str">
        <f>IF(ISNUMBER(NT!L79),NT!L79*1000000/AR$7,"")</f>
        <v/>
      </c>
      <c r="AS85" s="669">
        <f>IF(ISNUMBER(Qld!K79),Qld!K79*1000000/AS$7,"")</f>
        <v>117.29660155559483</v>
      </c>
      <c r="AT85" s="670">
        <f>IF(ISNUMBER(Qld!L79),Qld!L79*1000000/AT$7,"")</f>
        <v>63.923570460786095</v>
      </c>
      <c r="AU85" s="669">
        <f>IF(ISNUMBER(SA!K79),SA!K79*1000000/AU$7,"")</f>
        <v>0.57068328623214681</v>
      </c>
      <c r="AV85" s="670">
        <f>IF(ISNUMBER(SA!L79),SA!L79*1000000/AV$7,"")</f>
        <v>0</v>
      </c>
      <c r="AW85" s="671" t="str">
        <f>IF(ISNUMBER(TAS!K79),TAS!K79*1000000/AW$7,"")</f>
        <v/>
      </c>
      <c r="AX85" s="671" t="str">
        <f>IF(ISNUMBER(TAS!L79),TAS!L79*1000000/AX$7,"")</f>
        <v/>
      </c>
      <c r="AY85" s="669">
        <f>IF(ISNUMBER(Vic!K79),Vic!K79*1000000/AY$7,"")</f>
        <v>0.36442190223763643</v>
      </c>
      <c r="AZ85" s="670">
        <f>IF(ISNUMBER(Vic!L79),Vic!L79*1000000/AZ$7,"")</f>
        <v>1.6025029049627129</v>
      </c>
      <c r="BA85" s="669" t="str">
        <f>IF(ISNUMBER(WA!L79),WA!L79*1000000/BA$7,"")</f>
        <v/>
      </c>
      <c r="BB85" s="672" t="str">
        <f>IF(ISNUMBER(WA!M79),WA!M79*1000000/BB$7,"")</f>
        <v/>
      </c>
      <c r="BD85" s="669">
        <v>0</v>
      </c>
      <c r="BE85" s="671">
        <v>0</v>
      </c>
      <c r="BF85" s="671">
        <v>0</v>
      </c>
      <c r="BG85" s="671">
        <v>489.88117279691988</v>
      </c>
      <c r="BH85" s="671">
        <v>0</v>
      </c>
      <c r="BI85" s="671" t="s">
        <v>855</v>
      </c>
      <c r="BJ85" s="671">
        <v>1.0365289337863495</v>
      </c>
      <c r="BK85" s="670">
        <v>1.0658391864302572</v>
      </c>
      <c r="BM85" s="669">
        <f t="shared" si="16"/>
        <v>0</v>
      </c>
      <c r="BN85" s="671" t="str">
        <f t="shared" si="17"/>
        <v/>
      </c>
      <c r="BO85" s="671" t="str">
        <f t="shared" si="18"/>
        <v/>
      </c>
      <c r="BP85" s="671">
        <f t="shared" si="19"/>
        <v>90.518341691438906</v>
      </c>
      <c r="BQ85" s="671">
        <f t="shared" si="20"/>
        <v>0.28480122654394896</v>
      </c>
      <c r="BR85" s="671" t="str">
        <f t="shared" si="21"/>
        <v/>
      </c>
      <c r="BS85" s="671">
        <f t="shared" si="22"/>
        <v>0.98602641369611232</v>
      </c>
      <c r="BT85" s="670" t="str">
        <f t="shared" si="23"/>
        <v/>
      </c>
    </row>
    <row r="86" spans="2:72">
      <c r="B86" s="673"/>
      <c r="C86" s="673"/>
      <c r="D86" s="673"/>
      <c r="E86" s="673"/>
      <c r="F86" s="673"/>
      <c r="G86" s="673"/>
      <c r="H86" s="673"/>
      <c r="I86" s="673"/>
      <c r="J86" s="673"/>
      <c r="K86" s="673"/>
      <c r="L86" s="673"/>
      <c r="M86" s="673"/>
      <c r="N86" s="673"/>
      <c r="O86" s="673"/>
      <c r="P86" s="673"/>
      <c r="Q86" s="673"/>
      <c r="R86" s="673"/>
      <c r="S86" s="673"/>
      <c r="T86" s="673"/>
      <c r="U86" s="673"/>
      <c r="V86" s="673"/>
      <c r="W86" s="673"/>
      <c r="X86" s="673"/>
      <c r="Y86" s="673"/>
      <c r="Z86" s="673"/>
      <c r="AA86" s="673"/>
      <c r="AB86" s="673"/>
      <c r="AC86" s="673"/>
      <c r="AD86" s="673"/>
      <c r="AE86" s="673"/>
      <c r="AF86" s="673"/>
      <c r="AG86" s="673"/>
      <c r="AH86" s="673"/>
      <c r="AI86" s="107"/>
      <c r="AJ86" s="673"/>
      <c r="AK86" s="107"/>
    </row>
  </sheetData>
  <mergeCells count="54">
    <mergeCell ref="Z8:AC8"/>
    <mergeCell ref="AD8:AG8"/>
    <mergeCell ref="C50:C52"/>
    <mergeCell ref="C46:C49"/>
    <mergeCell ref="C19:C42"/>
    <mergeCell ref="C14:C16"/>
    <mergeCell ref="AD10:AE10"/>
    <mergeCell ref="AF10:AG10"/>
    <mergeCell ref="F8:I8"/>
    <mergeCell ref="J8:M8"/>
    <mergeCell ref="N8:Q8"/>
    <mergeCell ref="R8:U8"/>
    <mergeCell ref="V8:Y8"/>
    <mergeCell ref="Z10:AA10"/>
    <mergeCell ref="AB10:AC10"/>
    <mergeCell ref="T10:U10"/>
    <mergeCell ref="C44:C45"/>
    <mergeCell ref="C82:C85"/>
    <mergeCell ref="P10:Q10"/>
    <mergeCell ref="R10:S10"/>
    <mergeCell ref="C79:C81"/>
    <mergeCell ref="C70:C78"/>
    <mergeCell ref="C60:C69"/>
    <mergeCell ref="C56:C59"/>
    <mergeCell ref="C53:C55"/>
    <mergeCell ref="B14:B16"/>
    <mergeCell ref="B19:B42"/>
    <mergeCell ref="B44:B45"/>
    <mergeCell ref="B46:B49"/>
    <mergeCell ref="B50:B52"/>
    <mergeCell ref="B82:B85"/>
    <mergeCell ref="B53:B55"/>
    <mergeCell ref="B56:B59"/>
    <mergeCell ref="B60:B69"/>
    <mergeCell ref="B70:B78"/>
    <mergeCell ref="B79:B81"/>
    <mergeCell ref="V10:W10"/>
    <mergeCell ref="X10:Y10"/>
    <mergeCell ref="F10:G10"/>
    <mergeCell ref="H10:I10"/>
    <mergeCell ref="J10:K10"/>
    <mergeCell ref="L10:M10"/>
    <mergeCell ref="N10:O10"/>
    <mergeCell ref="AS8:AT8"/>
    <mergeCell ref="AU8:AV8"/>
    <mergeCell ref="AW8:AX8"/>
    <mergeCell ref="AY8:AZ8"/>
    <mergeCell ref="BA8:BB8"/>
    <mergeCell ref="AJ10:AK10"/>
    <mergeCell ref="AM8:AN8"/>
    <mergeCell ref="AO8:AP8"/>
    <mergeCell ref="AH8:AK8"/>
    <mergeCell ref="AQ8:AR8"/>
    <mergeCell ref="AH10:AI10"/>
  </mergeCells>
  <conditionalFormatting sqref="G14:G85 O14:O85 S14:S85 AA14:AA85 AI14:AI85 I14:I85 Q14:Q85 U14:U85 AC14:AC85 AK14:AK85 K14:K85 M14:M85 W14:W85 Y14:Y85 AE14:AE85 AG14:AG85">
    <cfRule type="cellIs" dxfId="51" priority="114" operator="equal">
      <formula>$F$7</formula>
    </cfRule>
    <cfRule type="cellIs" dxfId="50" priority="115" operator="equal">
      <formula>$F$6</formula>
    </cfRule>
    <cfRule type="cellIs" dxfId="49" priority="145" operator="equal">
      <formula>$F$5</formula>
    </cfRule>
  </conditionalFormatting>
  <conditionalFormatting sqref="BA14:BB85 AH14:AH85 AJ14:AJ85">
    <cfRule type="expression" dxfId="48" priority="990">
      <formula>AND($BA14&gt;0,$BB14&gt;0,MAX($BA14:$BB14)&gt;1000*MIN($BA14:$BB14))</formula>
    </cfRule>
  </conditionalFormatting>
  <conditionalFormatting sqref="AY14:AZ85 AD14:AD85 AF14:AF85">
    <cfRule type="expression" dxfId="47" priority="996">
      <formula>AND($AY14&gt;0,$AZ14&gt;0,MAX($AY14:$AZ14)&gt;1000*MIN($AY14:$AZ14))</formula>
    </cfRule>
  </conditionalFormatting>
  <conditionalFormatting sqref="Z14:Z85 AB14:AB85 AW14:AX85">
    <cfRule type="expression" dxfId="46" priority="1002">
      <formula>AND($AW14&gt;0,$AX14&gt;0,MAX($AW14:$AX14)&gt;1000*MIN($AW14:$AX14))</formula>
    </cfRule>
  </conditionalFormatting>
  <conditionalFormatting sqref="V14:V85 X14:X85 AU14:AV85">
    <cfRule type="expression" dxfId="45" priority="1008">
      <formula>AND($AU14&gt;0,$AV14&gt;0,MAX($AU14:$AV14)&gt;1000*MIN($AU14:$AV14))</formula>
    </cfRule>
  </conditionalFormatting>
  <conditionalFormatting sqref="R14:R85 T14:T85 AS14:AT85">
    <cfRule type="expression" dxfId="44" priority="1014">
      <formula>AND($AS14&gt;0,$AT14&gt;0,MAX($AS14:$AT14)&gt;1000*MIN($AS14:$AT14))</formula>
    </cfRule>
  </conditionalFormatting>
  <conditionalFormatting sqref="N14:N85 P14:P85 AQ14:AR85">
    <cfRule type="expression" dxfId="43" priority="1024">
      <formula>AND($AQ14&gt;0,$AR14&gt;0,MAX($AQ14:$AR14)&gt;1000*MIN($AQ14:$AR14))</formula>
    </cfRule>
  </conditionalFormatting>
  <conditionalFormatting sqref="J14:J85 L14:L85 AO14:AP85">
    <cfRule type="expression" dxfId="42" priority="1030">
      <formula>AND($AO14&gt;0,$AP14&gt;0,MAX($AO14:$AP14)&gt;1000*MIN($AO14:$AP14))</formula>
    </cfRule>
  </conditionalFormatting>
  <conditionalFormatting sqref="AM14:AN85 F14:F85 H14:H85">
    <cfRule type="expression" dxfId="41" priority="1036">
      <formula>AND($AM14&gt;0,$AN14&gt;0,MAX($AM14:$AN14)&gt;1000*MIN($AM14:$AN14))</formula>
    </cfRule>
  </conditionalFormatting>
  <conditionalFormatting sqref="AM14:AN85">
    <cfRule type="expression" dxfId="40" priority="1035">
      <formula>AND(ISNUMBER(AM14),AM14&gt;0,OR(AM14&gt;500*$BD14,AM14&lt;0.0005*$BD14))</formula>
    </cfRule>
  </conditionalFormatting>
  <conditionalFormatting sqref="AO14:AP85">
    <cfRule type="expression" dxfId="39" priority="1029">
      <formula>AND(ISNUMBER(AO14),AO14&gt;0,OR(AO14&gt;500*$BE14,AO14&lt;0.0005*$BE14))</formula>
    </cfRule>
  </conditionalFormatting>
  <conditionalFormatting sqref="AQ14:AR85">
    <cfRule type="expression" dxfId="38" priority="1023">
      <formula>AND(ISNUMBER(AQ14),AQ14&gt;0,OR(AQ14&gt;1000*$BF14,AQ14&lt;0.001*$BF14))</formula>
    </cfRule>
  </conditionalFormatting>
  <conditionalFormatting sqref="AS14:AT85">
    <cfRule type="expression" dxfId="37" priority="1013">
      <formula>AND(ISNUMBER(AS14),AS14&gt;0,OR(AS14&gt;1000*$BG14,AS14&lt;0.001*$BG14))</formula>
    </cfRule>
  </conditionalFormatting>
  <conditionalFormatting sqref="AU14:AV85">
    <cfRule type="expression" dxfId="36" priority="1007">
      <formula>AND(ISNUMBER(AU14),AU14&gt;0,OR(AU14&gt;1000*$BH14,AU14&lt;0.001*$BH14))</formula>
    </cfRule>
  </conditionalFormatting>
  <conditionalFormatting sqref="AW14:AX85">
    <cfRule type="expression" dxfId="35" priority="1001">
      <formula>AND(ISNUMBER(AW14),AW14&gt;0,OR(AW14&gt;1000*$BI14,AW14&lt;0.001*$BI14))</formula>
    </cfRule>
  </conditionalFormatting>
  <conditionalFormatting sqref="AY14:AZ85">
    <cfRule type="expression" dxfId="34" priority="995">
      <formula>AND(ISNUMBER(AY14),AY14&gt;0,OR(AY14&gt;500*$BJ14,AY14&lt;0.0005*$BJ14))</formula>
    </cfRule>
  </conditionalFormatting>
  <conditionalFormatting sqref="BA14:BB85">
    <cfRule type="expression" dxfId="33" priority="989">
      <formula>AND(ISNUMBER(BA14),BA14&gt;0,OR(BA14&gt;500*$BK14,BA14&lt;0.0005*$BK14))</formula>
    </cfRule>
  </conditionalFormatting>
  <conditionalFormatting sqref="H14:H85">
    <cfRule type="expression" dxfId="32" priority="1069">
      <formula>AND(ISNUMBER(AN14),AN14&gt;0,OR(AN14&gt;500*$BD14,AN14&lt;0.0005*$BD14))</formula>
    </cfRule>
  </conditionalFormatting>
  <conditionalFormatting sqref="AM14:BB85">
    <cfRule type="expression" dxfId="31" priority="1101">
      <formula>AND(ISNUMBER(AM14),AM14&gt;0,OR(AM14&gt;1000*#REF!,AM14&lt;0.001*#REF!))</formula>
    </cfRule>
  </conditionalFormatting>
  <conditionalFormatting sqref="F14:F85">
    <cfRule type="expression" dxfId="30" priority="1102">
      <formula>AND(ISNUMBER(AM14),AM14&gt;0,OR(AM14&gt;500*$BD14,AM14&lt;0.0005*$BD14))</formula>
    </cfRule>
    <cfRule type="expression" dxfId="29" priority="1103">
      <formula>AND(ISNUMBER(F14),F14&gt;0,OR(AM14&gt;1000*#REF!,AM14&lt;0.001*#REF!))</formula>
    </cfRule>
  </conditionalFormatting>
  <conditionalFormatting sqref="H14:H8514">
    <cfRule type="expression" dxfId="28" priority="1104">
      <formula>AND(ISNUMBER(H14),H14&gt;0,OR(AN14&gt;1000*#REF!,AN14&lt;0.001*#REF!))</formula>
    </cfRule>
  </conditionalFormatting>
  <conditionalFormatting sqref="J14:J85">
    <cfRule type="expression" dxfId="27" priority="1105">
      <formula>AND(ISNUMBER(AO14),AO14&gt;0,OR(AO14&gt;500*$BE14,AO14&lt;0.0005*$BE14))</formula>
    </cfRule>
    <cfRule type="expression" dxfId="26" priority="1106">
      <formula>AND(ISNUMBER(J14),J14&gt;0,OR(AO14&gt;1000*#REF!,AO14&lt;0.001*#REF!))</formula>
    </cfRule>
  </conditionalFormatting>
  <conditionalFormatting sqref="L14:L85">
    <cfRule type="expression" dxfId="25" priority="1107">
      <formula>AND(ISNUMBER(AP14),AP14&gt;0,OR(AP14&gt;500*$BE14,AP14&lt;0.0005*$BE14))</formula>
    </cfRule>
    <cfRule type="expression" dxfId="24" priority="1108">
      <formula>AND(ISNUMBER(L14),L14&gt;0,OR(AP14&gt;1000*#REF!,AP14&lt;0.001*#REF!))</formula>
    </cfRule>
  </conditionalFormatting>
  <conditionalFormatting sqref="N14:N85">
    <cfRule type="expression" dxfId="23" priority="1109">
      <formula>AND(ISNUMBER(AQ14),AQ14&gt;0,OR(AQ14&gt;500*$BF14,AQ14&lt;0.0005*$BF14))</formula>
    </cfRule>
    <cfRule type="expression" dxfId="22" priority="1110">
      <formula>AND(ISNUMBER(N14),N14&gt;0,OR(AQ14&gt;1000*#REF!,AQ14&lt;0.001*#REF!))</formula>
    </cfRule>
  </conditionalFormatting>
  <conditionalFormatting sqref="P14:P85">
    <cfRule type="expression" dxfId="21" priority="1111">
      <formula>AND(ISNUMBER(AR14),AR14&gt;0,OR(AR14&gt;500*$BF14,AR14&lt;0.0005*$BF14))</formula>
    </cfRule>
    <cfRule type="expression" dxfId="20" priority="1112">
      <formula>AND(ISNUMBER(P14),P14&gt;0,OR(AR14&gt;1000*#REF!,AR14&lt;0.001*#REF!))</formula>
    </cfRule>
  </conditionalFormatting>
  <conditionalFormatting sqref="R14:R85">
    <cfRule type="expression" dxfId="19" priority="1113">
      <formula>AND(ISNUMBER(AS14),AS14&gt;0,OR(AS14&gt;500*$BG14,AS14&lt;0.0005*$BG14))</formula>
    </cfRule>
    <cfRule type="expression" dxfId="18" priority="1114">
      <formula>AND(ISNUMBER(R14),R14&gt;0,OR(AS14&gt;1000*#REF!,AS14&lt;0.001*#REF!))</formula>
    </cfRule>
  </conditionalFormatting>
  <conditionalFormatting sqref="T14:T85">
    <cfRule type="expression" dxfId="17" priority="1115">
      <formula>AND(ISNUMBER(AT14),AT14&gt;0,OR(AT14&gt;500*$BG14,AT14&lt;0.0005*$BG14))</formula>
    </cfRule>
    <cfRule type="expression" dxfId="16" priority="1116">
      <formula>AND(ISNUMBER(T14),T14&gt;0,OR(AT14&gt;1000*#REF!,AT14&lt;0.001*#REF!))</formula>
    </cfRule>
  </conditionalFormatting>
  <conditionalFormatting sqref="V14:V85">
    <cfRule type="expression" dxfId="15" priority="1117">
      <formula>AND(ISNUMBER(AU14),AU14&gt;0,OR(AU14&gt;500*$BH14,AU14&lt;0.0005*$BH14))</formula>
    </cfRule>
    <cfRule type="expression" dxfId="14" priority="1118">
      <formula>AND(ISNUMBER(V14),V14&gt;0,OR(AU14&gt;1000*#REF!,AU14&lt;0.001*#REF!))</formula>
    </cfRule>
  </conditionalFormatting>
  <conditionalFormatting sqref="X14:X85">
    <cfRule type="expression" dxfId="13" priority="1119">
      <formula>AND(ISNUMBER(AV14),AV14&gt;0,OR(AV14&gt;500*$BH14,AV14&lt;0.0005*$BH14))</formula>
    </cfRule>
    <cfRule type="expression" dxfId="12" priority="1120">
      <formula>AND(ISNUMBER(X14),X14&gt;0,OR(AV14&gt;1000*#REF!,AV14&lt;0.001*#REF!))</formula>
    </cfRule>
  </conditionalFormatting>
  <conditionalFormatting sqref="AB14:AB85">
    <cfRule type="expression" dxfId="11" priority="1121">
      <formula>AND(ISNUMBER(AX14),AX14&gt;0,OR(AX14&gt;1000*$BI14,AX14&lt;0.001*$BI14))</formula>
    </cfRule>
    <cfRule type="expression" dxfId="10" priority="1122">
      <formula>AND(ISNUMBER(AB14),AB14&gt;0,OR(AX14&gt;1000*#REF!,AX14&lt;0.001*#REF!))</formula>
    </cfRule>
  </conditionalFormatting>
  <conditionalFormatting sqref="Z14:Z85">
    <cfRule type="expression" dxfId="9" priority="1123">
      <formula>AND(ISNUMBER(AW14),AW14&gt;0,OR(AW14&gt;500*$BI14,AW14&lt;0.0005*$BI14))</formula>
    </cfRule>
    <cfRule type="expression" dxfId="8" priority="1124">
      <formula>AND(ISNUMBER(Z14),Z14&gt;0,OR(AW14&gt;1000*#REF!,AW14&lt;0.001*#REF!))</formula>
    </cfRule>
  </conditionalFormatting>
  <conditionalFormatting sqref="AD14:AD85">
    <cfRule type="expression" dxfId="7" priority="1125">
      <formula>AND(ISNUMBER(AY14),AY14&gt;0,OR(AY14&gt;500*$BJ14,AY14&lt;0.0005*$BJ14))</formula>
    </cfRule>
    <cfRule type="expression" dxfId="6" priority="1126">
      <formula>AND(ISNUMBER(AD14),AD14&gt;0,OR(AY14&gt;1000*#REF!,AY14&lt;0.001*#REF!))</formula>
    </cfRule>
  </conditionalFormatting>
  <conditionalFormatting sqref="AF14:AF85">
    <cfRule type="expression" dxfId="5" priority="1127">
      <formula>AND(ISNUMBER(AZ14),AZ14&gt;0,OR(AZ14&gt;500*$BJ14,AZ14&lt;0.0005*$BJ14))</formula>
    </cfRule>
    <cfRule type="expression" dxfId="4" priority="1128">
      <formula>AND(ISNUMBER(AF14),AF14&gt;0,OR(AZ14&gt;1000*#REF!,AZ14&lt;0.001*#REF!))</formula>
    </cfRule>
  </conditionalFormatting>
  <conditionalFormatting sqref="AH14:AH85">
    <cfRule type="expression" dxfId="3" priority="1129">
      <formula>AND(ISNUMBER(BA14),BA14&gt;0,OR(BA14&gt;500*$BK14,BA14&lt;0.0005*$BK14))</formula>
    </cfRule>
    <cfRule type="expression" dxfId="2" priority="1130">
      <formula>AND(ISNUMBER(AH14),AH14&gt;0,OR(BA14&gt;1000*#REF!,BA14&lt;0.001*#REF!))</formula>
    </cfRule>
  </conditionalFormatting>
  <conditionalFormatting sqref="AJ14:AJ85">
    <cfRule type="expression" dxfId="1" priority="1131">
      <formula>AND(ISNUMBER(BB14),BB14&gt;0,OR(BB14&gt;500*$BK14,BB14&lt;0.0005*$BK14))</formula>
    </cfRule>
    <cfRule type="expression" dxfId="0" priority="1132">
      <formula>AND(ISNUMBER(AJ14),AJ14&gt;0,OR(BB14&gt;1000*#REF!,BB14&lt;0.001*#REF!))</formula>
    </cfRule>
  </conditionalFormatting>
  <dataValidations count="1">
    <dataValidation type="list" allowBlank="1" showInputMessage="1" showErrorMessage="1" sqref="W14:W85 G14:G85 AE14:AE85 AI14:AI85 AK14:AK85 I14:I85 O14:O85 Q14:Q85 K14:K85 S14:S85 U14:U85 M14:M85 AA14:AA85 AC14:AC85 Y14:Y85 AG14:AG85">
      <formula1>$F$4:$F$7</formula1>
    </dataValidation>
  </dataValidations>
  <hyperlinks>
    <hyperlink ref="D8" location="Instructions_to_users" display="Instructions to users (hyperlink)"/>
  </hyperlink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dimension ref="A1:AD204"/>
  <sheetViews>
    <sheetView zoomScale="90" zoomScaleNormal="90" workbookViewId="0">
      <pane ySplit="9" topLeftCell="A10" activePane="bottomLeft" state="frozen"/>
      <selection pane="bottomLeft" activeCell="A10" sqref="A10"/>
    </sheetView>
  </sheetViews>
  <sheetFormatPr defaultColWidth="9.140625" defaultRowHeight="12.75"/>
  <cols>
    <col min="1" max="1" width="69.85546875" style="69" customWidth="1"/>
    <col min="2" max="2" width="10.85546875" style="69" customWidth="1"/>
    <col min="3" max="4" width="9.140625" style="69" customWidth="1"/>
    <col min="5" max="7" width="9.5703125" style="69" customWidth="1"/>
    <col min="8" max="9" width="9.140625" style="69" customWidth="1"/>
    <col min="10" max="10" width="2.28515625" style="69" customWidth="1"/>
    <col min="11" max="11" width="10.7109375" style="69" customWidth="1"/>
    <col min="12" max="12" width="10.28515625" style="69" customWidth="1"/>
    <col min="13" max="13" width="11.42578125" style="69" customWidth="1"/>
    <col min="14" max="14" width="11" style="69" customWidth="1"/>
    <col min="15" max="15" width="10.28515625" style="69" customWidth="1"/>
    <col min="16" max="16" width="11.42578125" style="69" customWidth="1"/>
    <col min="17" max="17" width="11" style="69" customWidth="1"/>
    <col min="18" max="18" width="10.28515625" style="69" customWidth="1"/>
    <col min="19" max="19" width="11.42578125" style="69" customWidth="1"/>
    <col min="20" max="20" width="11" style="69" customWidth="1"/>
    <col min="21" max="21" width="10.28515625" style="69" customWidth="1"/>
    <col min="22" max="22" width="11.42578125" style="69" customWidth="1"/>
    <col min="23" max="23" width="11" style="69" customWidth="1"/>
    <col min="24" max="24" width="10.28515625" style="69" customWidth="1"/>
    <col min="25" max="25" width="11.42578125" style="69" customWidth="1"/>
    <col min="26" max="26" width="11" style="69" customWidth="1"/>
    <col min="27" max="27" width="10.28515625" style="69" customWidth="1"/>
    <col min="28" max="28" width="11.42578125" style="69" customWidth="1"/>
    <col min="29" max="29" width="11" style="69" customWidth="1"/>
    <col min="30" max="16384" width="9.140625" style="69"/>
  </cols>
  <sheetData>
    <row r="1" spans="1:30" s="549" customFormat="1" ht="21">
      <c r="A1" s="548" t="s">
        <v>764</v>
      </c>
      <c r="E1" s="550"/>
      <c r="F1" s="551"/>
      <c r="G1" s="551"/>
      <c r="H1" s="551"/>
      <c r="I1" s="551"/>
      <c r="J1" s="551"/>
      <c r="K1" s="551"/>
      <c r="L1" s="551"/>
      <c r="M1" s="551"/>
      <c r="N1" s="551"/>
      <c r="O1" s="551"/>
      <c r="P1" s="551"/>
      <c r="Q1" s="551"/>
      <c r="R1" s="551"/>
      <c r="S1" s="551"/>
      <c r="T1" s="551"/>
      <c r="U1" s="551"/>
      <c r="V1" s="551"/>
      <c r="W1" s="551"/>
      <c r="X1" s="551"/>
      <c r="Y1" s="551"/>
      <c r="Z1" s="551"/>
      <c r="AA1" s="551"/>
      <c r="AB1" s="551"/>
      <c r="AC1" s="551"/>
      <c r="AD1" s="551"/>
    </row>
    <row r="2" spans="1:30" s="58" customFormat="1">
      <c r="A2" s="55" t="s">
        <v>860</v>
      </c>
      <c r="B2" s="55" t="s">
        <v>457</v>
      </c>
      <c r="C2" s="53"/>
      <c r="E2" s="60"/>
      <c r="F2" s="56"/>
      <c r="G2" s="55"/>
      <c r="I2" s="56"/>
      <c r="J2" s="55"/>
      <c r="L2" s="56"/>
      <c r="M2" s="55"/>
      <c r="O2" s="56"/>
      <c r="P2" s="55"/>
      <c r="R2" s="56"/>
      <c r="S2" s="55"/>
      <c r="U2" s="56"/>
      <c r="V2" s="55"/>
      <c r="X2" s="56"/>
      <c r="Y2" s="55"/>
      <c r="AA2" s="56"/>
      <c r="AB2" s="55"/>
    </row>
    <row r="3" spans="1:30" s="676" customFormat="1" ht="15">
      <c r="A3" s="61" t="str">
        <f>A10</f>
        <v>Population data during each data period</v>
      </c>
      <c r="B3" s="674" t="s">
        <v>458</v>
      </c>
      <c r="C3" s="675" t="s">
        <v>459</v>
      </c>
      <c r="E3" s="677"/>
      <c r="G3" s="675"/>
      <c r="P3" s="675"/>
      <c r="Q3" s="675"/>
      <c r="R3" s="675"/>
      <c r="S3" s="675"/>
      <c r="V3" s="675"/>
      <c r="Y3" s="675"/>
      <c r="AB3" s="675"/>
    </row>
    <row r="4" spans="1:30" s="58" customFormat="1" ht="15">
      <c r="A4" s="61" t="str">
        <f>A15</f>
        <v>Factor for 'Wastes collected from households'</v>
      </c>
      <c r="B4" s="678" t="s">
        <v>460</v>
      </c>
      <c r="C4" s="675" t="s">
        <v>461</v>
      </c>
      <c r="E4" s="60"/>
      <c r="F4" s="56"/>
      <c r="G4" s="55"/>
      <c r="I4" s="56"/>
      <c r="J4" s="55"/>
      <c r="O4" s="56"/>
      <c r="P4" s="55"/>
      <c r="R4" s="56"/>
      <c r="S4" s="55"/>
      <c r="U4" s="56"/>
      <c r="V4" s="55"/>
      <c r="X4" s="56"/>
      <c r="Y4" s="55"/>
      <c r="AA4" s="56"/>
      <c r="AB4" s="55"/>
    </row>
    <row r="5" spans="1:30" s="58" customFormat="1" ht="15">
      <c r="A5" s="61" t="str">
        <f>A25</f>
        <v>Biosolids (N205b)</v>
      </c>
      <c r="B5" s="679"/>
      <c r="C5" s="680" t="s">
        <v>859</v>
      </c>
      <c r="E5" s="60"/>
      <c r="F5" s="56"/>
      <c r="G5" s="55"/>
      <c r="I5" s="56"/>
      <c r="J5" s="55"/>
      <c r="O5" s="56"/>
      <c r="P5" s="55"/>
      <c r="R5" s="56"/>
      <c r="S5" s="55"/>
      <c r="U5" s="56"/>
      <c r="V5" s="55"/>
      <c r="X5" s="56"/>
      <c r="Y5" s="55"/>
      <c r="AA5" s="56"/>
      <c r="AB5" s="55"/>
    </row>
    <row r="6" spans="1:30" s="58" customFormat="1" ht="15">
      <c r="A6" s="61" t="str">
        <f>A37</f>
        <v>End of life tyres (T140)</v>
      </c>
      <c r="C6" s="55"/>
      <c r="D6" s="53"/>
      <c r="E6" s="60"/>
      <c r="F6" s="56"/>
      <c r="G6" s="55"/>
      <c r="I6" s="56"/>
      <c r="J6" s="55"/>
      <c r="L6" s="56"/>
      <c r="M6" s="55"/>
      <c r="O6" s="56"/>
      <c r="P6" s="55"/>
      <c r="R6" s="56"/>
      <c r="S6" s="55"/>
      <c r="U6" s="56"/>
      <c r="V6" s="55"/>
      <c r="X6" s="56"/>
      <c r="Y6" s="55"/>
      <c r="AA6" s="56"/>
      <c r="AB6" s="55"/>
    </row>
    <row r="7" spans="1:30" s="58" customFormat="1" ht="15">
      <c r="A7" s="61" t="str">
        <f>A44</f>
        <v>Multiple counting correction factors</v>
      </c>
      <c r="C7" s="55"/>
      <c r="D7" s="53"/>
      <c r="E7" s="60"/>
      <c r="F7" s="56"/>
      <c r="G7" s="55"/>
      <c r="I7" s="56"/>
      <c r="J7" s="55"/>
      <c r="L7" s="56"/>
      <c r="M7" s="55"/>
      <c r="O7" s="56"/>
      <c r="P7" s="55"/>
      <c r="R7" s="56"/>
      <c r="S7" s="55"/>
      <c r="U7" s="56"/>
      <c r="V7" s="55"/>
      <c r="X7" s="56"/>
      <c r="Y7" s="55"/>
      <c r="AA7" s="56"/>
      <c r="AB7" s="55"/>
    </row>
    <row r="8" spans="1:30" s="58" customFormat="1" ht="15">
      <c r="A8" s="61" t="str">
        <f>A130</f>
        <v>Population-weighted Australian average quantities (based on jurisdictions reporting each waste type)</v>
      </c>
      <c r="C8" s="55"/>
      <c r="D8" s="53"/>
      <c r="E8" s="60"/>
      <c r="F8" s="56"/>
      <c r="G8" s="55"/>
      <c r="I8" s="56"/>
      <c r="J8" s="55"/>
      <c r="L8" s="56"/>
      <c r="M8" s="55"/>
      <c r="O8" s="56"/>
      <c r="P8" s="55"/>
      <c r="R8" s="56"/>
      <c r="S8" s="55"/>
      <c r="U8" s="56"/>
      <c r="V8" s="55"/>
      <c r="X8" s="56"/>
      <c r="Y8" s="55"/>
      <c r="AA8" s="56"/>
      <c r="AB8" s="55"/>
    </row>
    <row r="9" spans="1:30" s="58" customFormat="1" ht="6" customHeight="1">
      <c r="C9" s="55"/>
      <c r="D9" s="53"/>
      <c r="E9" s="60"/>
      <c r="F9" s="56"/>
      <c r="G9" s="55"/>
      <c r="I9" s="56"/>
      <c r="J9" s="55"/>
      <c r="L9" s="56"/>
      <c r="M9" s="55"/>
      <c r="O9" s="56"/>
      <c r="P9" s="55"/>
      <c r="R9" s="56"/>
      <c r="S9" s="55"/>
      <c r="U9" s="56"/>
      <c r="V9" s="55"/>
      <c r="X9" s="56"/>
      <c r="Y9" s="55"/>
      <c r="AA9" s="56"/>
      <c r="AB9" s="55"/>
    </row>
    <row r="10" spans="1:30" s="683" customFormat="1" ht="15.75">
      <c r="A10" s="681" t="s">
        <v>446</v>
      </c>
      <c r="B10" s="682" t="s">
        <v>426</v>
      </c>
      <c r="C10" s="682" t="s">
        <v>425</v>
      </c>
      <c r="D10" s="682" t="s">
        <v>427</v>
      </c>
      <c r="E10" s="682" t="s">
        <v>428</v>
      </c>
      <c r="F10" s="682" t="s">
        <v>429</v>
      </c>
      <c r="G10" s="682" t="s">
        <v>431</v>
      </c>
      <c r="H10" s="682" t="s">
        <v>432</v>
      </c>
      <c r="I10" s="682" t="s">
        <v>430</v>
      </c>
      <c r="K10" s="684" t="s">
        <v>451</v>
      </c>
    </row>
    <row r="11" spans="1:30" s="689" customFormat="1">
      <c r="A11" s="685">
        <v>41426</v>
      </c>
      <c r="B11" s="686">
        <v>380914</v>
      </c>
      <c r="C11" s="686">
        <v>7407063</v>
      </c>
      <c r="D11" s="686">
        <v>242569</v>
      </c>
      <c r="E11" s="686">
        <v>4651359</v>
      </c>
      <c r="F11" s="686">
        <v>1670274</v>
      </c>
      <c r="G11" s="686">
        <v>513067</v>
      </c>
      <c r="H11" s="686">
        <v>5733545</v>
      </c>
      <c r="I11" s="686">
        <v>2515387</v>
      </c>
      <c r="J11" s="687"/>
      <c r="K11" s="688" t="s">
        <v>800</v>
      </c>
    </row>
    <row r="12" spans="1:30" s="689" customFormat="1">
      <c r="A12" s="685">
        <v>41699</v>
      </c>
      <c r="B12" s="686">
        <v>384942</v>
      </c>
      <c r="C12" s="686">
        <v>7497771</v>
      </c>
      <c r="D12" s="686">
        <v>243795</v>
      </c>
      <c r="E12" s="686">
        <v>4706624</v>
      </c>
      <c r="F12" s="686">
        <v>1682194</v>
      </c>
      <c r="G12" s="686">
        <v>514534</v>
      </c>
      <c r="H12" s="686">
        <v>5817433</v>
      </c>
      <c r="I12" s="686">
        <v>2556433</v>
      </c>
    </row>
    <row r="13" spans="1:30" s="689" customFormat="1">
      <c r="A13" s="690">
        <v>41883</v>
      </c>
      <c r="B13" s="686">
        <v>386640</v>
      </c>
      <c r="C13" s="686">
        <v>7544305</v>
      </c>
      <c r="D13" s="686">
        <v>244902</v>
      </c>
      <c r="E13" s="686">
        <v>4739097</v>
      </c>
      <c r="F13" s="686">
        <v>1688578</v>
      </c>
      <c r="G13" s="686">
        <v>514984</v>
      </c>
      <c r="H13" s="686">
        <v>5865824</v>
      </c>
      <c r="I13" s="686">
        <v>2574009</v>
      </c>
    </row>
    <row r="14" spans="1:30" s="689" customFormat="1"/>
    <row r="15" spans="1:30" ht="15.75">
      <c r="A15" s="691" t="s">
        <v>434</v>
      </c>
      <c r="K15" s="692" t="s">
        <v>451</v>
      </c>
    </row>
    <row r="16" spans="1:30">
      <c r="A16" s="693" t="s">
        <v>440</v>
      </c>
      <c r="B16" s="694">
        <v>14.037000000000001</v>
      </c>
      <c r="K16" s="695" t="s">
        <v>628</v>
      </c>
    </row>
    <row r="17" spans="1:11">
      <c r="A17" s="693" t="s">
        <v>435</v>
      </c>
      <c r="B17" s="686">
        <v>22172469</v>
      </c>
      <c r="K17" s="604" t="s">
        <v>433</v>
      </c>
    </row>
    <row r="18" spans="1:11">
      <c r="A18" s="693" t="s">
        <v>438</v>
      </c>
      <c r="B18" s="686">
        <v>364833</v>
      </c>
      <c r="K18" s="604" t="s">
        <v>433</v>
      </c>
    </row>
    <row r="19" spans="1:11">
      <c r="A19" s="693" t="s">
        <v>436</v>
      </c>
      <c r="B19" s="696">
        <v>365</v>
      </c>
      <c r="K19" s="697"/>
    </row>
    <row r="20" spans="1:11">
      <c r="A20" s="693" t="s">
        <v>437</v>
      </c>
      <c r="B20" s="698">
        <v>0.1</v>
      </c>
      <c r="K20" s="697" t="s">
        <v>441</v>
      </c>
    </row>
    <row r="21" spans="1:11">
      <c r="A21" s="693" t="s">
        <v>439</v>
      </c>
      <c r="B21" s="699">
        <f>B16/(B17-B18)/B19*1000000000</f>
        <v>1.7634893688878217</v>
      </c>
      <c r="C21" s="697"/>
    </row>
    <row r="22" spans="1:11">
      <c r="A22" s="693" t="s">
        <v>442</v>
      </c>
      <c r="B22" s="699">
        <f>B21*(1-B20)</f>
        <v>1.5871404319990396</v>
      </c>
      <c r="C22" s="697"/>
    </row>
    <row r="23" spans="1:11">
      <c r="A23" s="693" t="s">
        <v>443</v>
      </c>
      <c r="B23" s="700">
        <f>B22*B19/1000/2</f>
        <v>0.28965312883982469</v>
      </c>
    </row>
    <row r="25" spans="1:11" s="689" customFormat="1" ht="15.75">
      <c r="A25" s="681" t="s">
        <v>820</v>
      </c>
    </row>
    <row r="26" spans="1:11" s="689" customFormat="1">
      <c r="A26" s="701" t="s">
        <v>809</v>
      </c>
      <c r="B26" s="702" t="s">
        <v>771</v>
      </c>
    </row>
    <row r="27" spans="1:11" s="689" customFormat="1">
      <c r="A27" s="701"/>
      <c r="B27" s="702" t="s">
        <v>850</v>
      </c>
    </row>
    <row r="28" spans="1:11" s="689" customFormat="1">
      <c r="A28" s="701"/>
      <c r="B28" s="702" t="s">
        <v>816</v>
      </c>
    </row>
    <row r="29" spans="1:11" s="689" customFormat="1">
      <c r="A29" s="701"/>
      <c r="B29" s="682" t="s">
        <v>772</v>
      </c>
      <c r="C29" s="682" t="s">
        <v>428</v>
      </c>
      <c r="D29" s="682" t="s">
        <v>429</v>
      </c>
      <c r="E29" s="682" t="s">
        <v>431</v>
      </c>
      <c r="F29" s="682" t="s">
        <v>432</v>
      </c>
      <c r="G29" s="682" t="s">
        <v>773</v>
      </c>
      <c r="I29" s="682"/>
      <c r="K29" s="684" t="s">
        <v>811</v>
      </c>
    </row>
    <row r="30" spans="1:11" s="689" customFormat="1">
      <c r="A30" s="703" t="s">
        <v>815</v>
      </c>
      <c r="B30" s="704">
        <v>98130.5</v>
      </c>
      <c r="C30" s="704">
        <v>70172</v>
      </c>
      <c r="D30" s="704">
        <v>30477.5</v>
      </c>
      <c r="E30" s="704">
        <v>6825.5</v>
      </c>
      <c r="F30" s="704">
        <v>96638</v>
      </c>
      <c r="G30" s="704">
        <v>28256.5</v>
      </c>
      <c r="I30" s="682"/>
      <c r="K30" s="705" t="s">
        <v>814</v>
      </c>
    </row>
    <row r="31" spans="1:11" s="689" customFormat="1">
      <c r="A31" s="703" t="s">
        <v>817</v>
      </c>
      <c r="B31" s="704">
        <v>84558</v>
      </c>
      <c r="C31" s="704">
        <v>68009</v>
      </c>
      <c r="D31" s="704">
        <v>23900</v>
      </c>
      <c r="E31" s="704">
        <v>8060</v>
      </c>
      <c r="F31" s="704">
        <v>93465</v>
      </c>
      <c r="G31" s="704">
        <v>25814</v>
      </c>
      <c r="H31" s="682"/>
      <c r="I31" s="682"/>
      <c r="K31" s="705" t="s">
        <v>819</v>
      </c>
    </row>
    <row r="32" spans="1:11" s="689" customFormat="1">
      <c r="A32" s="701"/>
      <c r="B32" s="682" t="s">
        <v>426</v>
      </c>
      <c r="C32" s="682" t="s">
        <v>425</v>
      </c>
      <c r="D32" s="682" t="s">
        <v>427</v>
      </c>
      <c r="E32" s="682" t="s">
        <v>428</v>
      </c>
      <c r="F32" s="682" t="s">
        <v>429</v>
      </c>
      <c r="G32" s="682" t="s">
        <v>431</v>
      </c>
      <c r="H32" s="682" t="s">
        <v>432</v>
      </c>
      <c r="I32" s="682" t="s">
        <v>430</v>
      </c>
      <c r="K32" s="684"/>
    </row>
    <row r="33" spans="1:11" s="689" customFormat="1">
      <c r="A33" s="703" t="s">
        <v>818</v>
      </c>
      <c r="B33" s="704">
        <v>44607.9312424608</v>
      </c>
      <c r="C33" s="704">
        <v>331205.06875753921</v>
      </c>
      <c r="D33" s="704">
        <v>4660.1764546370187</v>
      </c>
      <c r="E33" s="704">
        <v>302261</v>
      </c>
      <c r="F33" s="704">
        <v>106222</v>
      </c>
      <c r="G33" s="704">
        <v>35820</v>
      </c>
      <c r="H33" s="704">
        <v>415400</v>
      </c>
      <c r="I33" s="704">
        <v>110066.82354536297</v>
      </c>
      <c r="K33" s="705" t="s">
        <v>819</v>
      </c>
    </row>
    <row r="34" spans="1:11" s="689" customFormat="1">
      <c r="A34" s="706" t="s">
        <v>774</v>
      </c>
      <c r="B34" s="707">
        <f>B30/B31*B33</f>
        <v>51768.000624285101</v>
      </c>
      <c r="C34" s="707">
        <f>B30/B31*C33</f>
        <v>384367.16809422761</v>
      </c>
      <c r="D34" s="707">
        <f>G30/G31*D33</f>
        <v>5101.1186174343738</v>
      </c>
      <c r="E34" s="707">
        <f>C30/C31*E33</f>
        <v>311874.2944610272</v>
      </c>
      <c r="F34" s="707">
        <f>D30/D31*F33</f>
        <v>135455.27217573221</v>
      </c>
      <c r="G34" s="707">
        <f>E30/E31*G33</f>
        <v>30333.673697270471</v>
      </c>
      <c r="H34" s="707">
        <f>F30/F31*H33</f>
        <v>429502.22222222219</v>
      </c>
      <c r="I34" s="707">
        <f>G30/G31*I33</f>
        <v>120481.25821296773</v>
      </c>
      <c r="J34" s="687"/>
      <c r="K34" s="687"/>
    </row>
    <row r="35" spans="1:11" s="689" customFormat="1">
      <c r="A35" s="682" t="s">
        <v>456</v>
      </c>
      <c r="B35" s="708">
        <f t="shared" ref="B35:I35" si="0">B34/2*AVERAGE(B12:B13)/B11</f>
        <v>26215.403908550979</v>
      </c>
      <c r="C35" s="709">
        <f t="shared" si="0"/>
        <v>195140.77828074861</v>
      </c>
      <c r="D35" s="709">
        <f t="shared" si="0"/>
        <v>2569.2703570781164</v>
      </c>
      <c r="E35" s="709">
        <f t="shared" si="0"/>
        <v>158334.24019467796</v>
      </c>
      <c r="F35" s="709">
        <f t="shared" si="0"/>
        <v>68340.40982233113</v>
      </c>
      <c r="G35" s="709">
        <f t="shared" si="0"/>
        <v>15216.854269260399</v>
      </c>
      <c r="H35" s="709">
        <f t="shared" si="0"/>
        <v>218799.40090700137</v>
      </c>
      <c r="I35" s="710">
        <f t="shared" si="0"/>
        <v>61434.096159820991</v>
      </c>
      <c r="K35" s="702"/>
    </row>
    <row r="36" spans="1:11" s="689" customFormat="1"/>
    <row r="37" spans="1:11" ht="15.75">
      <c r="A37" s="691" t="s">
        <v>821</v>
      </c>
      <c r="K37" s="591"/>
    </row>
    <row r="38" spans="1:11">
      <c r="A38" s="711" t="s">
        <v>809</v>
      </c>
      <c r="B38" s="712" t="s">
        <v>771</v>
      </c>
    </row>
    <row r="39" spans="1:11">
      <c r="A39" s="711"/>
      <c r="B39" s="712" t="s">
        <v>813</v>
      </c>
    </row>
    <row r="40" spans="1:11">
      <c r="A40" s="711"/>
      <c r="B40" s="693" t="s">
        <v>426</v>
      </c>
      <c r="C40" s="693" t="s">
        <v>425</v>
      </c>
      <c r="D40" s="693" t="s">
        <v>427</v>
      </c>
      <c r="E40" s="693" t="s">
        <v>428</v>
      </c>
      <c r="F40" s="693" t="s">
        <v>429</v>
      </c>
      <c r="G40" s="693" t="s">
        <v>431</v>
      </c>
      <c r="H40" s="693" t="s">
        <v>432</v>
      </c>
      <c r="I40" s="693" t="s">
        <v>430</v>
      </c>
      <c r="K40" s="692" t="s">
        <v>811</v>
      </c>
    </row>
    <row r="41" spans="1:11">
      <c r="A41" s="713" t="s">
        <v>810</v>
      </c>
      <c r="B41" s="686">
        <v>3762</v>
      </c>
      <c r="C41" s="686">
        <v>108270</v>
      </c>
      <c r="D41" s="686">
        <v>4977</v>
      </c>
      <c r="E41" s="686">
        <v>90911</v>
      </c>
      <c r="F41" s="686">
        <v>30500</v>
      </c>
      <c r="G41" s="686">
        <v>10050</v>
      </c>
      <c r="H41" s="686">
        <v>90791</v>
      </c>
      <c r="I41" s="686">
        <v>69071</v>
      </c>
      <c r="K41" s="714" t="s">
        <v>812</v>
      </c>
    </row>
    <row r="42" spans="1:11">
      <c r="A42" s="693" t="s">
        <v>454</v>
      </c>
      <c r="B42" s="715">
        <f>B41/2</f>
        <v>1881</v>
      </c>
      <c r="C42" s="716">
        <f t="shared" ref="C42:I42" si="1">C41/2</f>
        <v>54135</v>
      </c>
      <c r="D42" s="716">
        <f t="shared" si="1"/>
        <v>2488.5</v>
      </c>
      <c r="E42" s="716">
        <f t="shared" si="1"/>
        <v>45455.5</v>
      </c>
      <c r="F42" s="716">
        <f t="shared" si="1"/>
        <v>15250</v>
      </c>
      <c r="G42" s="716">
        <f t="shared" si="1"/>
        <v>5025</v>
      </c>
      <c r="H42" s="716">
        <f t="shared" si="1"/>
        <v>45395.5</v>
      </c>
      <c r="I42" s="717">
        <f t="shared" si="1"/>
        <v>34535.5</v>
      </c>
    </row>
    <row r="43" spans="1:11" s="714" customFormat="1"/>
    <row r="44" spans="1:11" s="689" customFormat="1" ht="15.75">
      <c r="A44" s="681" t="s">
        <v>805</v>
      </c>
      <c r="F44" s="718"/>
    </row>
    <row r="45" spans="1:11" s="689" customFormat="1">
      <c r="A45" s="701" t="s">
        <v>455</v>
      </c>
      <c r="B45" s="702" t="s">
        <v>806</v>
      </c>
      <c r="F45" s="718"/>
    </row>
    <row r="46" spans="1:11" s="689" customFormat="1">
      <c r="B46" s="702" t="s">
        <v>807</v>
      </c>
      <c r="F46" s="718"/>
    </row>
    <row r="47" spans="1:11" s="689" customFormat="1">
      <c r="B47" s="702" t="s">
        <v>808</v>
      </c>
      <c r="F47" s="718"/>
    </row>
    <row r="48" spans="1:11" s="689" customFormat="1" ht="14.25">
      <c r="C48" s="702" t="s">
        <v>822</v>
      </c>
      <c r="D48" s="701" t="s">
        <v>837</v>
      </c>
      <c r="E48" s="702" t="s">
        <v>823</v>
      </c>
      <c r="F48" s="718"/>
    </row>
    <row r="49" spans="1:7" s="689" customFormat="1" ht="14.25">
      <c r="C49" s="702"/>
      <c r="D49" s="701" t="s">
        <v>838</v>
      </c>
      <c r="E49" s="702" t="s">
        <v>824</v>
      </c>
      <c r="F49" s="718"/>
    </row>
    <row r="50" spans="1:7" s="689" customFormat="1">
      <c r="C50" s="702"/>
      <c r="E50" s="719" t="s">
        <v>825</v>
      </c>
      <c r="F50" s="720" t="s">
        <v>832</v>
      </c>
    </row>
    <row r="51" spans="1:7" s="689" customFormat="1" ht="15">
      <c r="C51" s="702"/>
      <c r="F51" s="719" t="s">
        <v>829</v>
      </c>
      <c r="G51" s="721" t="s">
        <v>827</v>
      </c>
    </row>
    <row r="52" spans="1:7" s="689" customFormat="1" ht="15">
      <c r="C52" s="702"/>
      <c r="F52" s="719" t="s">
        <v>830</v>
      </c>
      <c r="G52" s="721" t="s">
        <v>831</v>
      </c>
    </row>
    <row r="53" spans="1:7" s="689" customFormat="1" ht="15">
      <c r="C53" s="702"/>
      <c r="F53" s="719" t="s">
        <v>826</v>
      </c>
      <c r="G53" s="721" t="s">
        <v>828</v>
      </c>
    </row>
    <row r="54" spans="1:7" s="689" customFormat="1">
      <c r="C54" s="702"/>
      <c r="F54" s="720" t="s">
        <v>833</v>
      </c>
    </row>
    <row r="55" spans="1:7" s="689" customFormat="1">
      <c r="C55" s="702"/>
      <c r="F55" s="720"/>
    </row>
    <row r="56" spans="1:7" s="724" customFormat="1">
      <c r="A56" s="689"/>
      <c r="B56" s="722" t="s">
        <v>834</v>
      </c>
      <c r="C56" s="723" t="s">
        <v>835</v>
      </c>
      <c r="D56" s="724" t="s">
        <v>836</v>
      </c>
    </row>
    <row r="57" spans="1:7" s="724" customFormat="1">
      <c r="A57" s="689"/>
      <c r="B57" s="725" t="s">
        <v>4</v>
      </c>
      <c r="C57" s="726">
        <v>0</v>
      </c>
    </row>
    <row r="58" spans="1:7" s="724" customFormat="1">
      <c r="A58" s="689"/>
      <c r="B58" s="725" t="s">
        <v>138</v>
      </c>
      <c r="C58" s="727">
        <v>0</v>
      </c>
    </row>
    <row r="59" spans="1:7" s="724" customFormat="1">
      <c r="A59" s="689"/>
      <c r="B59" s="725" t="s">
        <v>81</v>
      </c>
      <c r="C59" s="727">
        <v>1.5195492871164003E-2</v>
      </c>
    </row>
    <row r="60" spans="1:7" s="724" customFormat="1">
      <c r="A60" s="689"/>
      <c r="B60" s="728" t="s">
        <v>7</v>
      </c>
      <c r="C60" s="729">
        <v>1.130568511976442E-2</v>
      </c>
    </row>
    <row r="61" spans="1:7" s="724" customFormat="1">
      <c r="A61" s="689"/>
      <c r="B61" s="725" t="s">
        <v>9</v>
      </c>
      <c r="C61" s="729">
        <v>1.4273303065871399E-3</v>
      </c>
    </row>
    <row r="62" spans="1:7" s="724" customFormat="1">
      <c r="A62" s="689"/>
      <c r="B62" s="730" t="s">
        <v>12</v>
      </c>
      <c r="C62" s="727">
        <v>1.9937992842260571E-4</v>
      </c>
    </row>
    <row r="63" spans="1:7" s="724" customFormat="1">
      <c r="A63" s="689"/>
      <c r="B63" s="725" t="s">
        <v>13</v>
      </c>
      <c r="C63" s="727">
        <v>1.2751275127512752E-2</v>
      </c>
    </row>
    <row r="64" spans="1:7" s="724" customFormat="1">
      <c r="A64" s="689"/>
      <c r="B64" s="725" t="s">
        <v>14</v>
      </c>
      <c r="C64" s="727">
        <v>1.5860798812501718E-2</v>
      </c>
    </row>
    <row r="65" spans="1:3" s="724" customFormat="1">
      <c r="A65" s="689"/>
      <c r="B65" s="725" t="s">
        <v>15</v>
      </c>
      <c r="C65" s="727">
        <v>1.9273340014757875E-4</v>
      </c>
    </row>
    <row r="66" spans="1:3" s="724" customFormat="1">
      <c r="A66" s="689"/>
      <c r="B66" s="725" t="s">
        <v>16</v>
      </c>
      <c r="C66" s="727">
        <v>9.2973638677727516E-4</v>
      </c>
    </row>
    <row r="67" spans="1:3" s="724" customFormat="1">
      <c r="A67" s="689"/>
      <c r="B67" s="725" t="s">
        <v>17</v>
      </c>
      <c r="C67" s="727">
        <v>2.2687169145449932E-3</v>
      </c>
    </row>
    <row r="68" spans="1:3" s="724" customFormat="1">
      <c r="A68" s="689"/>
      <c r="B68" s="725" t="s">
        <v>18</v>
      </c>
      <c r="C68" s="727">
        <v>0.4938881343375725</v>
      </c>
    </row>
    <row r="69" spans="1:3" s="724" customFormat="1">
      <c r="A69" s="689"/>
      <c r="B69" s="725" t="s">
        <v>19</v>
      </c>
      <c r="C69" s="727">
        <v>0</v>
      </c>
    </row>
    <row r="70" spans="1:3" s="724" customFormat="1">
      <c r="A70" s="689"/>
      <c r="B70" s="725" t="s">
        <v>142</v>
      </c>
      <c r="C70" s="727">
        <v>0.33333333333333331</v>
      </c>
    </row>
    <row r="71" spans="1:3" s="724" customFormat="1">
      <c r="A71" s="689"/>
      <c r="B71" s="725" t="s">
        <v>20</v>
      </c>
      <c r="C71" s="727">
        <v>7.2848388393479749E-3</v>
      </c>
    </row>
    <row r="72" spans="1:3" s="724" customFormat="1">
      <c r="A72" s="689"/>
      <c r="B72" s="725" t="s">
        <v>21</v>
      </c>
      <c r="C72" s="727">
        <v>0.50000000000000011</v>
      </c>
    </row>
    <row r="73" spans="1:3" s="724" customFormat="1">
      <c r="A73" s="689"/>
      <c r="B73" s="725" t="s">
        <v>22</v>
      </c>
      <c r="C73" s="727">
        <v>7.7038589372239771E-2</v>
      </c>
    </row>
    <row r="74" spans="1:3" s="724" customFormat="1">
      <c r="A74" s="689"/>
      <c r="B74" s="725" t="s">
        <v>23</v>
      </c>
      <c r="C74" s="727">
        <v>4.2685482438293261E-3</v>
      </c>
    </row>
    <row r="75" spans="1:3" s="724" customFormat="1">
      <c r="A75" s="689"/>
      <c r="B75" s="725" t="s">
        <v>24</v>
      </c>
      <c r="C75" s="727">
        <v>0</v>
      </c>
    </row>
    <row r="76" spans="1:3" s="724" customFormat="1">
      <c r="A76" s="689"/>
      <c r="B76" s="725" t="s">
        <v>25</v>
      </c>
      <c r="C76" s="727">
        <v>0</v>
      </c>
    </row>
    <row r="77" spans="1:3" s="724" customFormat="1">
      <c r="A77" s="689"/>
      <c r="B77" s="725" t="s">
        <v>146</v>
      </c>
      <c r="C77" s="727">
        <v>0</v>
      </c>
    </row>
    <row r="78" spans="1:3" s="724" customFormat="1">
      <c r="A78" s="689"/>
      <c r="B78" s="725" t="s">
        <v>148</v>
      </c>
      <c r="C78" s="727">
        <v>0</v>
      </c>
    </row>
    <row r="79" spans="1:3" s="724" customFormat="1">
      <c r="A79" s="689"/>
      <c r="B79" s="725" t="s">
        <v>26</v>
      </c>
      <c r="C79" s="727">
        <v>1.1655011655011655E-3</v>
      </c>
    </row>
    <row r="80" spans="1:3" s="724" customFormat="1">
      <c r="A80" s="689"/>
      <c r="B80" s="725" t="s">
        <v>27</v>
      </c>
      <c r="C80" s="727">
        <v>1.1645006488160148E-3</v>
      </c>
    </row>
    <row r="81" spans="1:3" s="724" customFormat="1">
      <c r="A81" s="689"/>
      <c r="B81" s="725" t="s">
        <v>28</v>
      </c>
      <c r="C81" s="727">
        <v>0</v>
      </c>
    </row>
    <row r="82" spans="1:3" s="724" customFormat="1">
      <c r="A82" s="689"/>
      <c r="B82" s="725" t="s">
        <v>29</v>
      </c>
      <c r="C82" s="727">
        <v>2.9645491726605248E-4</v>
      </c>
    </row>
    <row r="83" spans="1:3" s="724" customFormat="1">
      <c r="A83" s="689"/>
      <c r="B83" s="725" t="s">
        <v>99</v>
      </c>
      <c r="C83" s="727">
        <v>0.1877133105802048</v>
      </c>
    </row>
    <row r="84" spans="1:3" s="724" customFormat="1">
      <c r="A84" s="689"/>
      <c r="B84" s="725" t="s">
        <v>101</v>
      </c>
      <c r="C84" s="727">
        <v>7.8511983783706646E-4</v>
      </c>
    </row>
    <row r="85" spans="1:3" s="724" customFormat="1">
      <c r="A85" s="689"/>
      <c r="B85" s="731" t="s">
        <v>30</v>
      </c>
      <c r="C85" s="727">
        <v>1.0675959021398893E-5</v>
      </c>
    </row>
    <row r="86" spans="1:3" s="724" customFormat="1">
      <c r="A86" s="689"/>
      <c r="B86" s="725" t="s">
        <v>33</v>
      </c>
      <c r="C86" s="729">
        <v>2.4585378688834619E-2</v>
      </c>
    </row>
    <row r="87" spans="1:3" s="724" customFormat="1">
      <c r="A87" s="689"/>
      <c r="B87" s="730" t="s">
        <v>35</v>
      </c>
      <c r="C87" s="727">
        <v>0.32572208825710941</v>
      </c>
    </row>
    <row r="88" spans="1:3" s="724" customFormat="1">
      <c r="A88" s="689"/>
      <c r="B88" s="731" t="s">
        <v>105</v>
      </c>
      <c r="C88" s="727">
        <v>1.9001517899275976E-2</v>
      </c>
    </row>
    <row r="89" spans="1:3" s="724" customFormat="1">
      <c r="A89" s="689"/>
      <c r="B89" s="725" t="s">
        <v>38</v>
      </c>
      <c r="C89" s="732">
        <v>0.3293693233254405</v>
      </c>
    </row>
    <row r="90" spans="1:3" s="724" customFormat="1">
      <c r="A90" s="689"/>
      <c r="B90" s="725" t="s">
        <v>39</v>
      </c>
      <c r="C90" s="726">
        <v>0.24197172946463624</v>
      </c>
    </row>
    <row r="91" spans="1:3" s="724" customFormat="1">
      <c r="A91" s="689"/>
      <c r="B91" s="725" t="s">
        <v>40</v>
      </c>
      <c r="C91" s="726">
        <v>4.0436347267681715E-2</v>
      </c>
    </row>
    <row r="92" spans="1:3" s="724" customFormat="1">
      <c r="A92" s="689"/>
      <c r="B92" s="725" t="s">
        <v>41</v>
      </c>
      <c r="C92" s="733">
        <v>0.41853216966178414</v>
      </c>
    </row>
    <row r="93" spans="1:3" s="724" customFormat="1">
      <c r="A93" s="689"/>
      <c r="B93" s="730" t="s">
        <v>43</v>
      </c>
      <c r="C93" s="727">
        <v>1.1669606701885081E-3</v>
      </c>
    </row>
    <row r="94" spans="1:3" s="724" customFormat="1">
      <c r="A94" s="689"/>
      <c r="B94" s="725" t="s">
        <v>44</v>
      </c>
      <c r="C94" s="727">
        <v>1.103199761053676E-3</v>
      </c>
    </row>
    <row r="95" spans="1:3" s="724" customFormat="1">
      <c r="A95" s="689"/>
      <c r="B95" s="731" t="s">
        <v>45</v>
      </c>
      <c r="C95" s="727">
        <v>0</v>
      </c>
    </row>
    <row r="96" spans="1:3" s="724" customFormat="1">
      <c r="A96" s="689"/>
      <c r="B96" s="725" t="s">
        <v>47</v>
      </c>
      <c r="C96" s="732">
        <v>0.41742628462844156</v>
      </c>
    </row>
    <row r="97" spans="1:3" s="724" customFormat="1">
      <c r="A97" s="689"/>
      <c r="B97" s="725" t="s">
        <v>48</v>
      </c>
      <c r="C97" s="726">
        <v>8.4110947204318123E-2</v>
      </c>
    </row>
    <row r="98" spans="1:3" s="724" customFormat="1">
      <c r="A98" s="689"/>
      <c r="B98" s="725" t="s">
        <v>49</v>
      </c>
      <c r="C98" s="733">
        <v>0.14101656902783088</v>
      </c>
    </row>
    <row r="99" spans="1:3" s="724" customFormat="1">
      <c r="A99" s="689"/>
      <c r="B99" s="730" t="s">
        <v>51</v>
      </c>
      <c r="C99" s="727">
        <v>0.29171581878851488</v>
      </c>
    </row>
    <row r="100" spans="1:3" s="724" customFormat="1">
      <c r="A100" s="689"/>
      <c r="B100" s="725" t="s">
        <v>115</v>
      </c>
      <c r="C100" s="727">
        <v>1.7476430661309592E-2</v>
      </c>
    </row>
    <row r="101" spans="1:3" s="724" customFormat="1">
      <c r="A101" s="689"/>
      <c r="B101" s="725" t="s">
        <v>52</v>
      </c>
      <c r="C101" s="727">
        <v>3.4107976716368201E-3</v>
      </c>
    </row>
    <row r="102" spans="1:3" s="724" customFormat="1">
      <c r="A102" s="689"/>
      <c r="B102" s="731" t="s">
        <v>118</v>
      </c>
      <c r="C102" s="727">
        <v>0</v>
      </c>
    </row>
    <row r="103" spans="1:3" s="724" customFormat="1">
      <c r="A103" s="689"/>
      <c r="B103" s="730" t="s">
        <v>55</v>
      </c>
      <c r="C103" s="732">
        <v>2.4935239436437745E-2</v>
      </c>
    </row>
    <row r="104" spans="1:3" s="724" customFormat="1">
      <c r="A104" s="689"/>
      <c r="B104" s="725" t="s">
        <v>56</v>
      </c>
      <c r="C104" s="726">
        <v>2.8508770366843727E-4</v>
      </c>
    </row>
    <row r="105" spans="1:3" s="724" customFormat="1">
      <c r="A105" s="689"/>
      <c r="B105" s="725" t="s">
        <v>57</v>
      </c>
      <c r="C105" s="726">
        <v>6.7957300524696951E-3</v>
      </c>
    </row>
    <row r="106" spans="1:3" s="724" customFormat="1">
      <c r="A106" s="689"/>
      <c r="B106" s="725" t="s">
        <v>120</v>
      </c>
      <c r="C106" s="726">
        <v>0</v>
      </c>
    </row>
    <row r="107" spans="1:3" s="724" customFormat="1">
      <c r="A107" s="689"/>
      <c r="B107" s="725" t="s">
        <v>122</v>
      </c>
      <c r="C107" s="726">
        <v>0</v>
      </c>
    </row>
    <row r="108" spans="1:3" s="724" customFormat="1">
      <c r="A108" s="689"/>
      <c r="B108" s="725" t="s">
        <v>124</v>
      </c>
      <c r="C108" s="726">
        <v>0</v>
      </c>
    </row>
    <row r="109" spans="1:3" s="724" customFormat="1">
      <c r="A109" s="689"/>
      <c r="B109" s="725" t="s">
        <v>58</v>
      </c>
      <c r="C109" s="726">
        <v>5.5074166544279629E-2</v>
      </c>
    </row>
    <row r="110" spans="1:3" s="724" customFormat="1">
      <c r="A110" s="689"/>
      <c r="B110" s="725" t="s">
        <v>59</v>
      </c>
      <c r="C110" s="726">
        <v>0</v>
      </c>
    </row>
    <row r="111" spans="1:3" s="724" customFormat="1">
      <c r="A111" s="689"/>
      <c r="B111" s="725" t="s">
        <v>60</v>
      </c>
      <c r="C111" s="726">
        <v>0.28004046927464399</v>
      </c>
    </row>
    <row r="112" spans="1:3" s="724" customFormat="1">
      <c r="A112" s="689"/>
      <c r="B112" s="731" t="s">
        <v>61</v>
      </c>
      <c r="C112" s="733">
        <v>1.240413156814272E-3</v>
      </c>
    </row>
    <row r="113" spans="1:3" s="724" customFormat="1">
      <c r="A113" s="689"/>
      <c r="B113" s="725" t="s">
        <v>63</v>
      </c>
      <c r="C113" s="727">
        <v>0.39917621177199553</v>
      </c>
    </row>
    <row r="114" spans="1:3" s="724" customFormat="1">
      <c r="A114" s="689"/>
      <c r="B114" s="725" t="s">
        <v>64</v>
      </c>
      <c r="C114" s="727">
        <v>0.12186147439118931</v>
      </c>
    </row>
    <row r="115" spans="1:3" s="724" customFormat="1">
      <c r="A115" s="689"/>
      <c r="B115" s="725" t="s">
        <v>65</v>
      </c>
      <c r="C115" s="727">
        <v>0.14285714285714285</v>
      </c>
    </row>
    <row r="116" spans="1:3" s="724" customFormat="1">
      <c r="A116" s="689"/>
      <c r="B116" s="725" t="s">
        <v>66</v>
      </c>
      <c r="C116" s="727">
        <v>2.7093662792272889E-4</v>
      </c>
    </row>
    <row r="117" spans="1:3" s="724" customFormat="1">
      <c r="A117" s="689"/>
      <c r="B117" s="725" t="s">
        <v>67</v>
      </c>
      <c r="C117" s="727">
        <v>9.6888947115771687E-3</v>
      </c>
    </row>
    <row r="118" spans="1:3" s="724" customFormat="1">
      <c r="A118" s="689"/>
      <c r="B118" s="725" t="s">
        <v>68</v>
      </c>
      <c r="C118" s="727">
        <v>0</v>
      </c>
    </row>
    <row r="119" spans="1:3" s="724" customFormat="1">
      <c r="A119" s="689"/>
      <c r="B119" s="725" t="s">
        <v>128</v>
      </c>
      <c r="C119" s="727">
        <v>0.22624427007462572</v>
      </c>
    </row>
    <row r="120" spans="1:3" s="724" customFormat="1">
      <c r="A120" s="689"/>
      <c r="B120" s="725" t="s">
        <v>69</v>
      </c>
      <c r="C120" s="727">
        <v>3.3804440414737737E-4</v>
      </c>
    </row>
    <row r="121" spans="1:3" s="724" customFormat="1">
      <c r="A121" s="689"/>
      <c r="B121" s="725" t="s">
        <v>70</v>
      </c>
      <c r="C121" s="727">
        <v>5.0275275881716908E-5</v>
      </c>
    </row>
    <row r="122" spans="1:3" s="724" customFormat="1">
      <c r="A122" s="689"/>
      <c r="B122" s="730" t="s">
        <v>72</v>
      </c>
      <c r="C122" s="732">
        <v>3.9629595698348903E-2</v>
      </c>
    </row>
    <row r="123" spans="1:3" s="724" customFormat="1">
      <c r="A123" s="689"/>
      <c r="B123" s="725" t="s">
        <v>73</v>
      </c>
      <c r="C123" s="726">
        <v>2.2469852744161568E-2</v>
      </c>
    </row>
    <row r="124" spans="1:3" s="724" customFormat="1">
      <c r="A124" s="689"/>
      <c r="B124" s="731" t="s">
        <v>74</v>
      </c>
      <c r="C124" s="733">
        <v>9.9965321230945509E-2</v>
      </c>
    </row>
    <row r="125" spans="1:3" s="724" customFormat="1">
      <c r="A125" s="689"/>
      <c r="B125" s="725" t="s">
        <v>77</v>
      </c>
      <c r="C125" s="727">
        <v>0.25123829042467338</v>
      </c>
    </row>
    <row r="126" spans="1:3" s="724" customFormat="1">
      <c r="A126" s="689"/>
      <c r="B126" s="725" t="s">
        <v>78</v>
      </c>
      <c r="C126" s="727">
        <v>1.3427283322945169E-2</v>
      </c>
    </row>
    <row r="127" spans="1:3" s="724" customFormat="1">
      <c r="A127" s="689"/>
      <c r="B127" s="725" t="s">
        <v>134</v>
      </c>
      <c r="C127" s="727">
        <v>0</v>
      </c>
    </row>
    <row r="128" spans="1:3" s="724" customFormat="1">
      <c r="A128" s="689"/>
      <c r="B128" s="725" t="s">
        <v>172</v>
      </c>
      <c r="C128" s="727">
        <v>1.6818868879984211E-2</v>
      </c>
    </row>
    <row r="129" spans="1:3" s="689" customFormat="1"/>
    <row r="130" spans="1:3" ht="15.75">
      <c r="A130" s="734" t="s">
        <v>858</v>
      </c>
    </row>
    <row r="132" spans="1:3">
      <c r="B132" s="735" t="s">
        <v>834</v>
      </c>
      <c r="C132" s="736" t="s">
        <v>857</v>
      </c>
    </row>
    <row r="133" spans="1:3">
      <c r="B133" s="737" t="s">
        <v>4</v>
      </c>
      <c r="C133" s="738">
        <f>SUMPRODUCT(Validation!BD14:BK14,'Gap data'!B$11:I$11)/SUMPRODUCT(--ISNUMBER(Validation!BD14:BK14),'Gap data'!B$11:I$11)/2</f>
        <v>149.93607919560915</v>
      </c>
    </row>
    <row r="134" spans="1:3">
      <c r="B134" s="737" t="s">
        <v>138</v>
      </c>
      <c r="C134" s="738">
        <f>SUMPRODUCT(Validation!BD15:BK15,'Gap data'!B$11:I$11)/SUMPRODUCT(--ISNUMBER(Validation!BD15:BK15),'Gap data'!B$11:I$11)/2</f>
        <v>0.38792863307540426</v>
      </c>
    </row>
    <row r="135" spans="1:3">
      <c r="B135" s="737" t="s">
        <v>81</v>
      </c>
      <c r="C135" s="738">
        <f>SUMPRODUCT(Validation!BD16:BK16,'Gap data'!B$11:I$11)/SUMPRODUCT(--ISNUMBER(Validation!BD16:BK16),'Gap data'!B$11:I$11)/2</f>
        <v>2.3798423704658269</v>
      </c>
    </row>
    <row r="136" spans="1:3">
      <c r="B136" s="739" t="s">
        <v>7</v>
      </c>
      <c r="C136" s="740">
        <f>SUMPRODUCT(Validation!BD17:BK17,'Gap data'!B$11:I$11)/SUMPRODUCT(--ISNUMBER(Validation!BD17:BK17),'Gap data'!B$11:I$11)/2</f>
        <v>872.95791797936988</v>
      </c>
    </row>
    <row r="137" spans="1:3">
      <c r="B137" s="737" t="s">
        <v>9</v>
      </c>
      <c r="C137" s="738">
        <f>SUMPRODUCT(Validation!BD18:BK18,'Gap data'!B$11:I$11)/SUMPRODUCT(--ISNUMBER(Validation!BD18:BK18),'Gap data'!B$11:I$11)/2</f>
        <v>7563.2319491083044</v>
      </c>
    </row>
    <row r="138" spans="1:3">
      <c r="B138" s="741" t="s">
        <v>12</v>
      </c>
      <c r="C138" s="742">
        <f>SUMPRODUCT(Validation!BD19:BK19,'Gap data'!B$11:I$11)/SUMPRODUCT(--ISNUMBER(Validation!BD19:BK19),'Gap data'!B$11:I$11)/2</f>
        <v>8.2318984739920698</v>
      </c>
    </row>
    <row r="139" spans="1:3">
      <c r="B139" s="737" t="s">
        <v>13</v>
      </c>
      <c r="C139" s="738">
        <f>SUMPRODUCT(Validation!BD20:BK20,'Gap data'!B$11:I$11)/SUMPRODUCT(--ISNUMBER(Validation!BD20:BK20),'Gap data'!B$11:I$11)/2</f>
        <v>284.11367240724036</v>
      </c>
    </row>
    <row r="140" spans="1:3">
      <c r="B140" s="737" t="s">
        <v>14</v>
      </c>
      <c r="C140" s="738">
        <f>SUMPRODUCT(Validation!BD21:BK21,'Gap data'!B$11:I$11)/SUMPRODUCT(--ISNUMBER(Validation!BD21:BK21),'Gap data'!B$11:I$11)/2</f>
        <v>47.221571820220696</v>
      </c>
    </row>
    <row r="141" spans="1:3">
      <c r="B141" s="737" t="s">
        <v>15</v>
      </c>
      <c r="C141" s="738">
        <f>SUMPRODUCT(Validation!BD22:BK22,'Gap data'!B$11:I$11)/SUMPRODUCT(--ISNUMBER(Validation!BD22:BK22),'Gap data'!B$11:I$11)/2</f>
        <v>4.4018443577023687</v>
      </c>
    </row>
    <row r="142" spans="1:3">
      <c r="B142" s="737" t="s">
        <v>16</v>
      </c>
      <c r="C142" s="738">
        <f>SUMPRODUCT(Validation!BD23:BK23,'Gap data'!B$11:I$11)/SUMPRODUCT(--ISNUMBER(Validation!BD23:BK23),'Gap data'!B$11:I$11)/2</f>
        <v>35.973290831935195</v>
      </c>
    </row>
    <row r="143" spans="1:3">
      <c r="B143" s="737" t="s">
        <v>17</v>
      </c>
      <c r="C143" s="738">
        <f>SUMPRODUCT(Validation!BD24:BK24,'Gap data'!B$11:I$11)/SUMPRODUCT(--ISNUMBER(Validation!BD24:BK24),'Gap data'!B$11:I$11)/2</f>
        <v>0.67065156046115582</v>
      </c>
    </row>
    <row r="144" spans="1:3">
      <c r="B144" s="737" t="s">
        <v>18</v>
      </c>
      <c r="C144" s="738">
        <f>SUMPRODUCT(Validation!BD25:BK25,'Gap data'!B$11:I$11)/SUMPRODUCT(--ISNUMBER(Validation!BD25:BK25),'Gap data'!B$11:I$11)/2</f>
        <v>0.11932157459663746</v>
      </c>
    </row>
    <row r="145" spans="2:3">
      <c r="B145" s="737" t="s">
        <v>19</v>
      </c>
      <c r="C145" s="738">
        <f>SUMPRODUCT(Validation!BD26:BK26,'Gap data'!B$11:I$11)/SUMPRODUCT(--ISNUMBER(Validation!BD26:BK26),'Gap data'!B$11:I$11)/2</f>
        <v>8.5385106652642054E-2</v>
      </c>
    </row>
    <row r="146" spans="2:3">
      <c r="B146" s="737" t="s">
        <v>142</v>
      </c>
      <c r="C146" s="738">
        <f>SUMPRODUCT(Validation!BD27:BK27,'Gap data'!B$11:I$11)/SUMPRODUCT(--ISNUMBER(Validation!BD27:BK27),'Gap data'!B$11:I$11)/2</f>
        <v>4.4474972600085328E-3</v>
      </c>
    </row>
    <row r="147" spans="2:3">
      <c r="B147" s="737" t="s">
        <v>20</v>
      </c>
      <c r="C147" s="738">
        <f>SUMPRODUCT(Validation!BD28:BK28,'Gap data'!B$11:I$11)/SUMPRODUCT(--ISNUMBER(Validation!BD28:BK28),'Gap data'!B$11:I$11)/2</f>
        <v>17.412473398212271</v>
      </c>
    </row>
    <row r="148" spans="2:3">
      <c r="B148" s="737" t="s">
        <v>21</v>
      </c>
      <c r="C148" s="738">
        <f>SUMPRODUCT(Validation!BD29:BK29,'Gap data'!B$11:I$11)/SUMPRODUCT(--ISNUMBER(Validation!BD29:BK29),'Gap data'!B$11:I$11)/2</f>
        <v>0.12779558508584141</v>
      </c>
    </row>
    <row r="149" spans="2:3">
      <c r="B149" s="737" t="s">
        <v>22</v>
      </c>
      <c r="C149" s="738">
        <f>SUMPRODUCT(Validation!BD30:BK30,'Gap data'!B$11:I$11)/SUMPRODUCT(--ISNUMBER(Validation!BD30:BK30),'Gap data'!B$11:I$11)/2</f>
        <v>24.59434444315573</v>
      </c>
    </row>
    <row r="150" spans="2:3">
      <c r="B150" s="737" t="s">
        <v>23</v>
      </c>
      <c r="C150" s="738">
        <f>SUMPRODUCT(Validation!BD31:BK31,'Gap data'!B$11:I$11)/SUMPRODUCT(--ISNUMBER(Validation!BD31:BK31),'Gap data'!B$11:I$11)/2</f>
        <v>2874.7320137909796</v>
      </c>
    </row>
    <row r="151" spans="2:3">
      <c r="B151" s="737" t="s">
        <v>24</v>
      </c>
      <c r="C151" s="738">
        <f>SUMPRODUCT(Validation!BD32:BK32,'Gap data'!B$11:I$11)/SUMPRODUCT(--ISNUMBER(Validation!BD32:BK32),'Gap data'!B$11:I$11)/2</f>
        <v>4567.6713339907537</v>
      </c>
    </row>
    <row r="152" spans="2:3">
      <c r="B152" s="737" t="s">
        <v>25</v>
      </c>
      <c r="C152" s="738">
        <f>SUMPRODUCT(Validation!BD33:BK33,'Gap data'!B$11:I$11)/SUMPRODUCT(--ISNUMBER(Validation!BD33:BK33),'Gap data'!B$11:I$11)/2</f>
        <v>0.88008696849718737</v>
      </c>
    </row>
    <row r="153" spans="2:3">
      <c r="B153" s="737" t="s">
        <v>146</v>
      </c>
      <c r="C153" s="738">
        <f>SUMPRODUCT(Validation!BD34:BK34,'Gap data'!B$11:I$11)/SUMPRODUCT(--ISNUMBER(Validation!BD34:BK34),'Gap data'!B$11:I$11)/2</f>
        <v>1.4898174882737781E-4</v>
      </c>
    </row>
    <row r="154" spans="2:3">
      <c r="B154" s="737" t="s">
        <v>148</v>
      </c>
      <c r="C154" s="738">
        <f>SUMPRODUCT(Validation!BD35:BK35,'Gap data'!B$11:I$11)/SUMPRODUCT(--ISNUMBER(Validation!BD35:BK35),'Gap data'!B$11:I$11)/2</f>
        <v>1.6222411091331614</v>
      </c>
    </row>
    <row r="155" spans="2:3">
      <c r="B155" s="737" t="s">
        <v>26</v>
      </c>
      <c r="C155" s="738">
        <f>SUMPRODUCT(Validation!BD36:BK36,'Gap data'!B$11:I$11)/SUMPRODUCT(--ISNUMBER(Validation!BD36:BK36),'Gap data'!B$11:I$11)/2</f>
        <v>2.2146364002371379E-2</v>
      </c>
    </row>
    <row r="156" spans="2:3">
      <c r="B156" s="737" t="s">
        <v>27</v>
      </c>
      <c r="C156" s="738">
        <f>SUMPRODUCT(Validation!BD37:BK37,'Gap data'!B$11:I$11)/SUMPRODUCT(--ISNUMBER(Validation!BD37:BK37),'Gap data'!B$11:I$11)/2</f>
        <v>1965.522864421976</v>
      </c>
    </row>
    <row r="157" spans="2:3">
      <c r="B157" s="737" t="s">
        <v>28</v>
      </c>
      <c r="C157" s="738">
        <f>SUMPRODUCT(Validation!BD38:BK38,'Gap data'!B$11:I$11)/SUMPRODUCT(--ISNUMBER(Validation!BD38:BK38),'Gap data'!B$11:I$11)/2</f>
        <v>0.13933683482634956</v>
      </c>
    </row>
    <row r="158" spans="2:3">
      <c r="B158" s="737" t="s">
        <v>29</v>
      </c>
      <c r="C158" s="738">
        <f>SUMPRODUCT(Validation!BD39:BK39,'Gap data'!B$11:I$11)/SUMPRODUCT(--ISNUMBER(Validation!BD39:BK39),'Gap data'!B$11:I$11)/2</f>
        <v>19.511007393050338</v>
      </c>
    </row>
    <row r="159" spans="2:3">
      <c r="B159" s="737" t="s">
        <v>99</v>
      </c>
      <c r="C159" s="738">
        <f>SUMPRODUCT(Validation!BD40:BK40,'Gap data'!B$11:I$11)/SUMPRODUCT(--ISNUMBER(Validation!BD40:BK40),'Gap data'!B$11:I$11)/2</f>
        <v>0.21972766004720962</v>
      </c>
    </row>
    <row r="160" spans="2:3">
      <c r="B160" s="737" t="s">
        <v>101</v>
      </c>
      <c r="C160" s="738">
        <f>SUMPRODUCT(Validation!BD41:BK41,'Gap data'!B$11:I$11)/SUMPRODUCT(--ISNUMBER(Validation!BD41:BK41),'Gap data'!B$11:I$11)/2</f>
        <v>0.16807653097077119</v>
      </c>
    </row>
    <row r="161" spans="2:8">
      <c r="B161" s="743" t="s">
        <v>30</v>
      </c>
      <c r="C161" s="744">
        <f>SUMPRODUCT(Validation!BD42:BK42,'Gap data'!B$11:I$11)/SUMPRODUCT(--ISNUMBER(Validation!BD42:BK42),'Gap data'!B$11:I$11)/2</f>
        <v>20.691572529418902</v>
      </c>
    </row>
    <row r="162" spans="2:8">
      <c r="B162" s="737" t="s">
        <v>33</v>
      </c>
      <c r="C162" s="742">
        <f>SUMPRODUCT(Validation!BD43:BK43,'Gap data'!B$11:I$11)/SUMPRODUCT(--ISNUMBER(Validation!BD43:BK43),'Gap data'!B$11:I$11)/2</f>
        <v>2.700353189470039</v>
      </c>
    </row>
    <row r="163" spans="2:8">
      <c r="B163" s="741" t="s">
        <v>35</v>
      </c>
      <c r="C163" s="742">
        <f>SUMPRODUCT(Validation!BD44:BK44,'Gap data'!B$11:I$11)/SUMPRODUCT(--ISNUMBER(Validation!BD44:BK44),'Gap data'!B$11:I$11)/2</f>
        <v>973.74138869844364</v>
      </c>
    </row>
    <row r="164" spans="2:8">
      <c r="B164" s="743" t="s">
        <v>105</v>
      </c>
      <c r="C164" s="738">
        <f>SUMPRODUCT(Validation!BD45:BK45,'Gap data'!B$11:I$11)/SUMPRODUCT(--ISNUMBER(Validation!BD45:BK45),'Gap data'!B$11:I$11)/2</f>
        <v>105.7806201213906</v>
      </c>
    </row>
    <row r="165" spans="2:8">
      <c r="B165" s="737" t="s">
        <v>38</v>
      </c>
      <c r="C165" s="742">
        <f>SUMPRODUCT(Validation!BD46:BK46,'Gap data'!B$11:I$11)/SUMPRODUCT(--ISNUMBER(Validation!BD46:BK46),'Gap data'!B$11:I$11)/2</f>
        <v>32.342803186532308</v>
      </c>
    </row>
    <row r="166" spans="2:8">
      <c r="B166" s="737" t="s">
        <v>39</v>
      </c>
      <c r="C166" s="738">
        <f>SUMPRODUCT(Validation!BD47:BK47,'Gap data'!B$11:I$11)/SUMPRODUCT(--ISNUMBER(Validation!BD47:BK47),'Gap data'!B$11:I$11)/2</f>
        <v>324.76212025336923</v>
      </c>
    </row>
    <row r="167" spans="2:8">
      <c r="B167" s="737" t="s">
        <v>40</v>
      </c>
      <c r="C167" s="738">
        <f>SUMPRODUCT(Validation!BD48:BK48,'Gap data'!B$11:I$11)/SUMPRODUCT(--ISNUMBER(Validation!BD48:BK48),'Gap data'!B$11:I$11)/2</f>
        <v>23.850925969369609</v>
      </c>
    </row>
    <row r="168" spans="2:8">
      <c r="B168" s="737" t="s">
        <v>41</v>
      </c>
      <c r="C168" s="744">
        <f>SUMPRODUCT(Validation!BD49:BK49,'Gap data'!B$11:I$11)/SUMPRODUCT(--ISNUMBER(Validation!BD49:BK49),'Gap data'!B$11:I$11)/2</f>
        <v>301.47928205306039</v>
      </c>
    </row>
    <row r="169" spans="2:8">
      <c r="B169" s="741" t="s">
        <v>43</v>
      </c>
      <c r="C169" s="742">
        <f>SUMPRODUCT(Validation!BD50:BK50,'Gap data'!B$11:I$11)/SUMPRODUCT(--ISNUMBER(Validation!BD50:BK50),'Gap data'!B$11:I$11)/2</f>
        <v>60.410060224516357</v>
      </c>
    </row>
    <row r="170" spans="2:8">
      <c r="B170" s="737" t="s">
        <v>44</v>
      </c>
      <c r="C170" s="738">
        <f>SUMPRODUCT(Validation!BD51:BK51,'Gap data'!B$11:I$11)/SUMPRODUCT(--ISNUMBER(Validation!BD51:BK51),'Gap data'!B$11:I$11)/2</f>
        <v>14.90507715282626</v>
      </c>
    </row>
    <row r="171" spans="2:8">
      <c r="B171" s="743" t="s">
        <v>45</v>
      </c>
      <c r="C171" s="738">
        <f>SUMPRODUCT(Validation!BD52:BK52,'Gap data'!B$11:I$11)/SUMPRODUCT(--ISNUMBER(Validation!BD52:BK52),'Gap data'!B$11:I$11)/2</f>
        <v>12.558487357892547</v>
      </c>
    </row>
    <row r="172" spans="2:8">
      <c r="B172" s="737" t="s">
        <v>47</v>
      </c>
      <c r="C172" s="742">
        <f>SUMPRODUCT(Validation!BD53:BK53,'Gap data'!B$11:I$11)/SUMPRODUCT(--ISNUMBER(Validation!BD53:BK53),'Gap data'!B$11:I$11)/2</f>
        <v>5194.4271145260291</v>
      </c>
    </row>
    <row r="173" spans="2:8">
      <c r="B173" s="737" t="s">
        <v>48</v>
      </c>
      <c r="C173" s="738">
        <f>SUMPRODUCT(Validation!BD54:BK54,'Gap data'!B$11:I$11)/SUMPRODUCT(--ISNUMBER(Validation!BD54:BK54),'Gap data'!B$11:I$11)/2</f>
        <v>8984.1733745198781</v>
      </c>
    </row>
    <row r="174" spans="2:8">
      <c r="B174" s="737" t="s">
        <v>49</v>
      </c>
      <c r="C174" s="738">
        <f>SUMPRODUCT(Validation!BD55:BK55,'Gap data'!B$11:I$11)/SUMPRODUCT(--ISNUMBER(Validation!BD55:BK55),'Gap data'!B$11:I$11)/2</f>
        <v>601.19149790396114</v>
      </c>
    </row>
    <row r="175" spans="2:8">
      <c r="B175" s="741" t="s">
        <v>51</v>
      </c>
      <c r="C175" s="745">
        <f>SUMPRODUCT(Validation!BD56:BK56,'Gap data'!B$11:I$11)/SUMPRODUCT(--ISNUMBER(Validation!BD56:BK56),'Gap data'!B$11:I$11)/2</f>
        <v>6761.2873123093605</v>
      </c>
      <c r="G175" s="738"/>
      <c r="H175" s="738"/>
    </row>
    <row r="176" spans="2:8">
      <c r="B176" s="737" t="s">
        <v>115</v>
      </c>
      <c r="C176" s="746">
        <f>SUMPRODUCT(Validation!BD57:BK57,'Gap data'!B$11:I$11)/SUMPRODUCT(--ISNUMBER(Validation!BD57:BK57),'Gap data'!B$11:I$11)/2</f>
        <v>11019.709955804759</v>
      </c>
    </row>
    <row r="177" spans="2:3">
      <c r="B177" s="737" t="s">
        <v>52</v>
      </c>
      <c r="C177" s="738">
        <f>SUMPRODUCT(Validation!BD58:BK58,'Gap data'!B$11:I$11)/SUMPRODUCT(--ISNUMBER(Validation!BD58:BK58),'Gap data'!B$11:I$11)/2</f>
        <v>214.21260264393723</v>
      </c>
    </row>
    <row r="178" spans="2:3">
      <c r="B178" s="743" t="s">
        <v>118</v>
      </c>
      <c r="C178" s="744">
        <f>SUMPRODUCT(Validation!BD59:BK59,'Gap data'!B$11:I$11)/SUMPRODUCT(--ISNUMBER(Validation!BD59:BK59),'Gap data'!B$11:I$11)/2</f>
        <v>12.67332645246781</v>
      </c>
    </row>
    <row r="179" spans="2:3">
      <c r="B179" s="741" t="s">
        <v>55</v>
      </c>
      <c r="C179" s="742">
        <f>SUMPRODUCT(Validation!BD60:BK60,'Gap data'!B$11:I$11)/SUMPRODUCT(--ISNUMBER(Validation!BD60:BK60),'Gap data'!B$11:I$11)/2</f>
        <v>89.392475404513021</v>
      </c>
    </row>
    <row r="180" spans="2:3">
      <c r="B180" s="737" t="s">
        <v>56</v>
      </c>
      <c r="C180" s="738">
        <f>SUMPRODUCT(Validation!BD61:BK61,'Gap data'!B$11:I$11)/SUMPRODUCT(--ISNUMBER(Validation!BD61:BK61),'Gap data'!B$11:I$11)/2</f>
        <v>24.457037893604998</v>
      </c>
    </row>
    <row r="181" spans="2:3">
      <c r="B181" s="737" t="s">
        <v>57</v>
      </c>
      <c r="C181" s="738">
        <f>SUMPRODUCT(Validation!BD62:BK62,'Gap data'!B$11:I$11)/SUMPRODUCT(--ISNUMBER(Validation!BD62:BK62),'Gap data'!B$11:I$11)/2</f>
        <v>0.42791430388980689</v>
      </c>
    </row>
    <row r="182" spans="2:3">
      <c r="B182" s="737" t="s">
        <v>120</v>
      </c>
      <c r="C182" s="738">
        <f>SUMPRODUCT(Validation!BD63:BK63,'Gap data'!B$11:I$11)/SUMPRODUCT(--ISNUMBER(Validation!BD63:BK63),'Gap data'!B$11:I$11)/2</f>
        <v>0</v>
      </c>
    </row>
    <row r="183" spans="2:3">
      <c r="B183" s="737" t="s">
        <v>122</v>
      </c>
      <c r="C183" s="738">
        <f>SUMPRODUCT(Validation!BD64:BK64,'Gap data'!B$11:I$11)/SUMPRODUCT(--ISNUMBER(Validation!BD64:BK64),'Gap data'!B$11:I$11)/2</f>
        <v>0</v>
      </c>
    </row>
    <row r="184" spans="2:3">
      <c r="B184" s="737" t="s">
        <v>124</v>
      </c>
      <c r="C184" s="738">
        <f>SUMPRODUCT(Validation!BD65:BK65,'Gap data'!B$11:I$11)/SUMPRODUCT(--ISNUMBER(Validation!BD65:BK65),'Gap data'!B$11:I$11)/2</f>
        <v>0.325050335570923</v>
      </c>
    </row>
    <row r="185" spans="2:3">
      <c r="B185" s="737" t="s">
        <v>58</v>
      </c>
      <c r="C185" s="738">
        <f>SUMPRODUCT(Validation!BD66:BK66,'Gap data'!B$11:I$11)/SUMPRODUCT(--ISNUMBER(Validation!BD66:BK66),'Gap data'!B$11:I$11)/2</f>
        <v>2.8946314838392584</v>
      </c>
    </row>
    <row r="186" spans="2:3">
      <c r="B186" s="737" t="s">
        <v>59</v>
      </c>
      <c r="C186" s="747">
        <f>SUMPRODUCT(Validation!BD67:BK67,'Gap data'!B$11:I$11)/SUMPRODUCT(--ISNUMBER(Validation!BD67:BK67),'Gap data'!B$11:I$11)/2</f>
        <v>71.069632624070337</v>
      </c>
    </row>
    <row r="187" spans="2:3">
      <c r="B187" s="737" t="s">
        <v>60</v>
      </c>
      <c r="C187" s="738">
        <f>SUMPRODUCT(Validation!BD68:BK68,'Gap data'!B$11:I$11)/SUMPRODUCT(--ISNUMBER(Validation!BD68:BK68),'Gap data'!B$11:I$11)/2</f>
        <v>231.87594247772455</v>
      </c>
    </row>
    <row r="188" spans="2:3">
      <c r="B188" s="743" t="s">
        <v>61</v>
      </c>
      <c r="C188" s="744">
        <f>SUMPRODUCT(Validation!BD69:BK69,'Gap data'!B$11:I$11)/SUMPRODUCT(--ISNUMBER(Validation!BD69:BK69),'Gap data'!B$11:I$11)/2</f>
        <v>0.88349253633075364</v>
      </c>
    </row>
    <row r="189" spans="2:3">
      <c r="B189" s="737" t="s">
        <v>63</v>
      </c>
      <c r="C189" s="742">
        <f>SUMPRODUCT(Validation!BD70:BK70,'Gap data'!B$11:I$11)/SUMPRODUCT(--ISNUMBER(Validation!BD70:BK70),'Gap data'!B$11:I$11)/2</f>
        <v>872.87246725124453</v>
      </c>
    </row>
    <row r="190" spans="2:3">
      <c r="B190" s="737" t="s">
        <v>64</v>
      </c>
      <c r="C190" s="747">
        <f>SUMPRODUCT(Validation!BD71:BK71,'Gap data'!B$11:I$11)/SUMPRODUCT(--ISNUMBER(Validation!BD71:BK71),'Gap data'!B$11:I$11)/2</f>
        <v>23844.050771088234</v>
      </c>
    </row>
    <row r="191" spans="2:3">
      <c r="B191" s="737" t="s">
        <v>65</v>
      </c>
      <c r="C191" s="738">
        <f>SUMPRODUCT(Validation!BD72:BK72,'Gap data'!B$11:I$11)/SUMPRODUCT(--ISNUMBER(Validation!BD72:BK72),'Gap data'!B$11:I$11)/2</f>
        <v>37.995053941135872</v>
      </c>
    </row>
    <row r="192" spans="2:3">
      <c r="B192" s="737" t="s">
        <v>66</v>
      </c>
      <c r="C192" s="738">
        <f>SUMPRODUCT(Validation!BD73:BK73,'Gap data'!B$11:I$11)/SUMPRODUCT(--ISNUMBER(Validation!BD73:BK73),'Gap data'!B$11:I$11)/2</f>
        <v>110.13492766732199</v>
      </c>
    </row>
    <row r="193" spans="2:3">
      <c r="B193" s="737" t="s">
        <v>67</v>
      </c>
      <c r="C193" s="738">
        <f>SUMPRODUCT(Validation!BD74:BK74,'Gap data'!B$11:I$11)/SUMPRODUCT(--ISNUMBER(Validation!BD74:BK74),'Gap data'!B$11:I$11)/2</f>
        <v>1390.1540811853492</v>
      </c>
    </row>
    <row r="194" spans="2:3">
      <c r="B194" s="737" t="s">
        <v>68</v>
      </c>
      <c r="C194" s="738">
        <f>SUMPRODUCT(Validation!BD75:BK75,'Gap data'!B$11:I$11)/SUMPRODUCT(--ISNUMBER(Validation!BD75:BK75),'Gap data'!B$11:I$11)/2</f>
        <v>397.69701698760633</v>
      </c>
    </row>
    <row r="195" spans="2:3">
      <c r="B195" s="737" t="s">
        <v>128</v>
      </c>
      <c r="C195" s="738">
        <f>SUMPRODUCT(Validation!BD76:BK76,'Gap data'!B$11:I$11)/SUMPRODUCT(--ISNUMBER(Validation!BD76:BK76),'Gap data'!B$11:I$11)/2</f>
        <v>6463.9861176306522</v>
      </c>
    </row>
    <row r="196" spans="2:3">
      <c r="B196" s="737" t="s">
        <v>69</v>
      </c>
      <c r="C196" s="747">
        <f>SUMPRODUCT(Validation!BD77:BK77,'Gap data'!B$11:I$11)/SUMPRODUCT(--ISNUMBER(Validation!BD77:BK77),'Gap data'!B$11:I$11)/2</f>
        <v>7690.7102092810883</v>
      </c>
    </row>
    <row r="197" spans="2:3">
      <c r="B197" s="737" t="s">
        <v>70</v>
      </c>
      <c r="C197" s="738">
        <f>SUMPRODUCT(Validation!BD78:BK78,'Gap data'!B$11:I$11)/SUMPRODUCT(--ISNUMBER(Validation!BD78:BK78),'Gap data'!B$11:I$11)/2</f>
        <v>11.508048951307643</v>
      </c>
    </row>
    <row r="198" spans="2:3">
      <c r="B198" s="741" t="s">
        <v>72</v>
      </c>
      <c r="C198" s="745">
        <f>SUMPRODUCT(Validation!BD79:BK79,'Gap data'!B$11:I$11)/SUMPRODUCT(--ISNUMBER(Validation!BD79:BK79),'Gap data'!B$11:I$11)/2</f>
        <v>1424.9478086435784</v>
      </c>
    </row>
    <row r="199" spans="2:3">
      <c r="B199" s="737" t="s">
        <v>73</v>
      </c>
      <c r="C199" s="746">
        <f>SUMPRODUCT(Validation!BD80:BK80,'Gap data'!B$11:I$11)/SUMPRODUCT(--ISNUMBER(Validation!BD80:BK80),'Gap data'!B$11:I$11)/2</f>
        <v>107.13451549250159</v>
      </c>
    </row>
    <row r="200" spans="2:3">
      <c r="B200" s="743" t="s">
        <v>74</v>
      </c>
      <c r="C200" s="738">
        <f>SUMPRODUCT(Validation!BD81:BK81,'Gap data'!B$11:I$11)/SUMPRODUCT(--ISNUMBER(Validation!BD81:BK81),'Gap data'!B$11:I$11)/2</f>
        <v>25.712454114145913</v>
      </c>
    </row>
    <row r="201" spans="2:3">
      <c r="B201" s="737" t="s">
        <v>77</v>
      </c>
      <c r="C201" s="742">
        <f>SUMPRODUCT(Validation!BD82:BK82,'Gap data'!B$11:I$11)/SUMPRODUCT(--ISNUMBER(Validation!BD82:BK82),'Gap data'!B$11:I$11)/2</f>
        <v>127.57217761593455</v>
      </c>
    </row>
    <row r="202" spans="2:3">
      <c r="B202" s="737" t="s">
        <v>78</v>
      </c>
      <c r="C202" s="738">
        <f>SUMPRODUCT(Validation!BD83:BK83,'Gap data'!B$11:I$11)/SUMPRODUCT(--ISNUMBER(Validation!BD83:BK83),'Gap data'!B$11:I$11)/2</f>
        <v>17.839149685482742</v>
      </c>
    </row>
    <row r="203" spans="2:3">
      <c r="B203" s="737" t="s">
        <v>134</v>
      </c>
      <c r="C203" s="738" t="e">
        <f>SUMPRODUCT(Validation!BD84:BK84,'Gap data'!B$11:I$11)/SUMPRODUCT(--ISNUMBER(Validation!BD84:BK84),'Gap data'!B$11:I$11)/2</f>
        <v>#DIV/0!</v>
      </c>
    </row>
    <row r="204" spans="2:3">
      <c r="B204" s="737" t="s">
        <v>172</v>
      </c>
      <c r="C204" s="738">
        <f>SUMPRODUCT(Validation!BD85:BK85,'Gap data'!B$11:I$11)/SUMPRODUCT(--ISNUMBER(Validation!BD85:BK85),'Gap data'!B$11:I$11)/2</f>
        <v>50.600105130646263</v>
      </c>
    </row>
  </sheetData>
  <hyperlinks>
    <hyperlink ref="A3" location="Popn_data" display="Popn_data"/>
    <hyperlink ref="A4" location="Hhold_waste" display="Hhold_waste"/>
    <hyperlink ref="A5" location="Biosolids" display="Biosolids"/>
    <hyperlink ref="A6" location="Tyres" display="Tyres"/>
    <hyperlink ref="A7" location="Multiple_count_factors" display="Multiple_count_factors"/>
    <hyperlink ref="A8" location="Weighted_avs" display="Weighted_avs"/>
  </hyperlinks>
  <pageMargins left="0.7" right="0.7" top="0.75" bottom="0.75" header="0.3" footer="0.3"/>
  <pageSetup paperSize="9" orientation="portrait" verticalDpi="0" r:id="rId1"/>
  <legacyDrawing r:id="rId2"/>
</worksheet>
</file>

<file path=xl/worksheets/sheet12.xml><?xml version="1.0" encoding="utf-8"?>
<worksheet xmlns="http://schemas.openxmlformats.org/spreadsheetml/2006/main" xmlns:r="http://schemas.openxmlformats.org/officeDocument/2006/relationships">
  <dimension ref="A1:AB612"/>
  <sheetViews>
    <sheetView zoomScale="80" zoomScaleNormal="80" workbookViewId="0">
      <pane ySplit="7" topLeftCell="A8" activePane="bottomLeft" state="frozen"/>
      <selection pane="bottomLeft" activeCell="A8" sqref="A8"/>
    </sheetView>
  </sheetViews>
  <sheetFormatPr defaultColWidth="9.140625" defaultRowHeight="12.75"/>
  <cols>
    <col min="1" max="1" width="9.140625" style="69"/>
    <col min="2" max="2" width="19.28515625" style="69" customWidth="1"/>
    <col min="3" max="3" width="9.140625" style="69"/>
    <col min="4" max="4" width="91.5703125" style="757" customWidth="1"/>
    <col min="5" max="5" width="11.42578125" style="69" customWidth="1"/>
    <col min="6" max="6" width="11" style="69" customWidth="1"/>
    <col min="7" max="7" width="9" style="107" customWidth="1"/>
    <col min="8" max="8" width="9.7109375" style="69" bestFit="1" customWidth="1"/>
    <col min="9" max="9" width="69.140625" style="757" customWidth="1"/>
    <col min="10" max="11" width="13.140625" style="69" bestFit="1" customWidth="1"/>
    <col min="12" max="16384" width="9.140625" style="69"/>
  </cols>
  <sheetData>
    <row r="1" spans="1:28" s="549" customFormat="1" ht="21">
      <c r="A1" s="748" t="s">
        <v>849</v>
      </c>
      <c r="D1" s="749"/>
      <c r="E1" s="551"/>
      <c r="F1" s="551"/>
      <c r="G1" s="551"/>
      <c r="H1" s="550"/>
      <c r="I1" s="750"/>
      <c r="Q1" s="751"/>
      <c r="R1" s="751"/>
    </row>
    <row r="2" spans="1:28" s="752" customFormat="1">
      <c r="A2" s="752" t="s">
        <v>453</v>
      </c>
      <c r="C2" s="554"/>
      <c r="D2" s="555"/>
      <c r="E2" s="314" t="s">
        <v>400</v>
      </c>
      <c r="F2" s="314"/>
      <c r="H2" s="753"/>
      <c r="I2" s="554"/>
      <c r="J2" s="753"/>
      <c r="K2" s="554"/>
      <c r="M2" s="753"/>
      <c r="N2" s="554"/>
      <c r="P2" s="753"/>
      <c r="Q2" s="554"/>
      <c r="S2" s="753"/>
      <c r="T2" s="554"/>
      <c r="V2" s="753"/>
      <c r="W2" s="554"/>
      <c r="Y2" s="753"/>
      <c r="Z2" s="554"/>
      <c r="AB2" s="753"/>
    </row>
    <row r="3" spans="1:28" s="48" customFormat="1">
      <c r="C3" s="53"/>
      <c r="D3" s="54"/>
      <c r="E3" s="62"/>
      <c r="F3" s="51" t="s">
        <v>783</v>
      </c>
      <c r="G3" s="53"/>
      <c r="H3" s="54"/>
      <c r="J3" s="56"/>
      <c r="K3" s="56"/>
      <c r="L3" s="56"/>
      <c r="P3" s="53"/>
    </row>
    <row r="4" spans="1:28" s="58" customFormat="1">
      <c r="C4" s="53"/>
      <c r="D4" s="60"/>
      <c r="E4" s="754"/>
      <c r="F4" s="308" t="s">
        <v>604</v>
      </c>
      <c r="G4" s="53"/>
      <c r="H4" s="60"/>
      <c r="J4" s="63"/>
      <c r="K4" s="63"/>
      <c r="L4" s="63"/>
      <c r="P4" s="53"/>
    </row>
    <row r="5" spans="1:28" ht="18.75" customHeight="1">
      <c r="A5" s="887" t="s">
        <v>402</v>
      </c>
      <c r="B5" s="888"/>
      <c r="C5" s="888"/>
      <c r="D5" s="882"/>
      <c r="E5" s="889" t="s">
        <v>401</v>
      </c>
      <c r="F5" s="890"/>
      <c r="G5" s="68"/>
      <c r="H5" s="881" t="s">
        <v>403</v>
      </c>
      <c r="I5" s="882"/>
      <c r="J5" s="883" t="s">
        <v>401</v>
      </c>
      <c r="K5" s="884"/>
    </row>
    <row r="6" spans="1:28" ht="25.5">
      <c r="A6" s="77" t="s">
        <v>781</v>
      </c>
      <c r="B6" s="76" t="s">
        <v>409</v>
      </c>
      <c r="C6" s="77" t="s">
        <v>782</v>
      </c>
      <c r="D6" s="755" t="s">
        <v>404</v>
      </c>
      <c r="E6" s="78" t="s">
        <v>668</v>
      </c>
      <c r="F6" s="78" t="s">
        <v>669</v>
      </c>
      <c r="G6" s="74"/>
      <c r="H6" s="79" t="s">
        <v>0</v>
      </c>
      <c r="I6" s="756" t="s">
        <v>406</v>
      </c>
      <c r="J6" s="81" t="s">
        <v>668</v>
      </c>
      <c r="K6" s="81" t="s">
        <v>669</v>
      </c>
      <c r="M6" s="871" t="s">
        <v>1049</v>
      </c>
    </row>
    <row r="7" spans="1:28">
      <c r="G7" s="109"/>
      <c r="M7" s="767">
        <f>SUM(M9:N606)</f>
        <v>211088.52063106006</v>
      </c>
    </row>
    <row r="8" spans="1:28" s="625" customFormat="1" ht="15.75">
      <c r="A8" s="625" t="s">
        <v>448</v>
      </c>
      <c r="D8" s="758"/>
      <c r="G8" s="759"/>
      <c r="H8" s="625" t="str">
        <f>A8</f>
        <v>Adjusted ACT data</v>
      </c>
      <c r="I8" s="758"/>
    </row>
    <row r="9" spans="1:28">
      <c r="G9" s="109"/>
    </row>
    <row r="10" spans="1:28">
      <c r="A10" s="872" t="s">
        <v>3</v>
      </c>
      <c r="B10" s="1058" t="s">
        <v>137</v>
      </c>
      <c r="C10" s="83" t="s">
        <v>4</v>
      </c>
      <c r="D10" s="82" t="s">
        <v>79</v>
      </c>
      <c r="E10" s="85">
        <f>ACT!K8</f>
        <v>0</v>
      </c>
      <c r="F10" s="85">
        <f>ACT!L8</f>
        <v>0</v>
      </c>
      <c r="G10" s="84"/>
      <c r="H10" s="86" t="s">
        <v>324</v>
      </c>
      <c r="I10" s="87" t="s">
        <v>325</v>
      </c>
      <c r="J10" s="85">
        <f>E75</f>
        <v>150.13999999999999</v>
      </c>
      <c r="K10" s="85">
        <f>F75</f>
        <v>142.72</v>
      </c>
    </row>
    <row r="11" spans="1:28">
      <c r="A11" s="873"/>
      <c r="B11" s="1059"/>
      <c r="C11" s="83" t="s">
        <v>138</v>
      </c>
      <c r="D11" s="82" t="s">
        <v>139</v>
      </c>
      <c r="E11" s="85">
        <f>ACT!K9</f>
        <v>0</v>
      </c>
      <c r="F11" s="85">
        <f>ACT!L9</f>
        <v>0</v>
      </c>
      <c r="G11" s="84"/>
      <c r="H11" s="86" t="s">
        <v>326</v>
      </c>
      <c r="I11" s="87" t="s">
        <v>327</v>
      </c>
      <c r="J11" s="85">
        <f>E77</f>
        <v>0</v>
      </c>
      <c r="K11" s="85">
        <f>F77</f>
        <v>0</v>
      </c>
    </row>
    <row r="12" spans="1:28">
      <c r="A12" s="874"/>
      <c r="B12" s="1060"/>
      <c r="C12" s="83" t="s">
        <v>81</v>
      </c>
      <c r="D12" s="82" t="s">
        <v>80</v>
      </c>
      <c r="E12" s="85">
        <f>ACT!K10</f>
        <v>8.5000000000000006E-3</v>
      </c>
      <c r="F12" s="85">
        <f>ACT!L10</f>
        <v>0</v>
      </c>
      <c r="G12" s="84"/>
      <c r="H12" s="86" t="s">
        <v>328</v>
      </c>
      <c r="I12" s="87" t="s">
        <v>130</v>
      </c>
      <c r="J12" s="85">
        <f>E76</f>
        <v>330</v>
      </c>
      <c r="K12" s="85">
        <f>F76</f>
        <v>156</v>
      </c>
    </row>
    <row r="13" spans="1:28">
      <c r="A13" s="90" t="s">
        <v>5</v>
      </c>
      <c r="B13" s="187" t="s">
        <v>6</v>
      </c>
      <c r="C13" s="83" t="s">
        <v>7</v>
      </c>
      <c r="D13" s="82" t="s">
        <v>82</v>
      </c>
      <c r="E13" s="85">
        <f>ACT!K11</f>
        <v>0</v>
      </c>
      <c r="F13" s="85">
        <f>ACT!L11</f>
        <v>0</v>
      </c>
      <c r="G13" s="84"/>
      <c r="H13" s="86" t="s">
        <v>329</v>
      </c>
      <c r="I13" s="87" t="s">
        <v>330</v>
      </c>
      <c r="J13" s="85">
        <f>E46</f>
        <v>0</v>
      </c>
      <c r="K13" s="85">
        <f>F46</f>
        <v>0</v>
      </c>
    </row>
    <row r="14" spans="1:28">
      <c r="A14" s="90" t="s">
        <v>8</v>
      </c>
      <c r="B14" s="187" t="s">
        <v>140</v>
      </c>
      <c r="C14" s="83" t="s">
        <v>9</v>
      </c>
      <c r="D14" s="82" t="s">
        <v>83</v>
      </c>
      <c r="E14" s="85">
        <f>ACT!K12</f>
        <v>449.6</v>
      </c>
      <c r="F14" s="85">
        <f>ACT!L12</f>
        <v>230.9</v>
      </c>
      <c r="G14" s="84"/>
      <c r="H14" s="86" t="s">
        <v>331</v>
      </c>
      <c r="I14" s="87" t="s">
        <v>332</v>
      </c>
      <c r="J14" s="85">
        <f>E48</f>
        <v>0</v>
      </c>
      <c r="K14" s="85">
        <f>F48</f>
        <v>0</v>
      </c>
    </row>
    <row r="15" spans="1:28">
      <c r="A15" s="872" t="s">
        <v>10</v>
      </c>
      <c r="B15" s="1058" t="s">
        <v>11</v>
      </c>
      <c r="C15" s="83" t="s">
        <v>12</v>
      </c>
      <c r="D15" s="82" t="s">
        <v>84</v>
      </c>
      <c r="E15" s="85">
        <f>ACT!K13</f>
        <v>0</v>
      </c>
      <c r="F15" s="85">
        <f>ACT!L13</f>
        <v>0</v>
      </c>
      <c r="G15" s="84"/>
      <c r="H15" s="86" t="s">
        <v>333</v>
      </c>
      <c r="I15" s="87" t="s">
        <v>334</v>
      </c>
      <c r="J15" s="85">
        <f>E45</f>
        <v>0</v>
      </c>
      <c r="K15" s="85">
        <f>F45</f>
        <v>0</v>
      </c>
    </row>
    <row r="16" spans="1:28">
      <c r="A16" s="873"/>
      <c r="B16" s="1059"/>
      <c r="C16" s="83" t="s">
        <v>13</v>
      </c>
      <c r="D16" s="82" t="s">
        <v>85</v>
      </c>
      <c r="E16" s="85">
        <f>ACT!K14</f>
        <v>0</v>
      </c>
      <c r="F16" s="85">
        <f>ACT!L14</f>
        <v>0</v>
      </c>
      <c r="G16" s="84"/>
      <c r="H16" s="86" t="s">
        <v>335</v>
      </c>
      <c r="I16" s="87" t="s">
        <v>336</v>
      </c>
      <c r="J16" s="85">
        <f>E11</f>
        <v>0</v>
      </c>
      <c r="K16" s="85">
        <f>F11</f>
        <v>0</v>
      </c>
    </row>
    <row r="17" spans="1:11">
      <c r="A17" s="873"/>
      <c r="B17" s="1059"/>
      <c r="C17" s="83" t="s">
        <v>14</v>
      </c>
      <c r="D17" s="82" t="s">
        <v>86</v>
      </c>
      <c r="E17" s="85">
        <f>ACT!K15</f>
        <v>6.97</v>
      </c>
      <c r="F17" s="85">
        <f>ACT!L15</f>
        <v>7.81</v>
      </c>
      <c r="G17" s="84"/>
      <c r="H17" s="86" t="s">
        <v>337</v>
      </c>
      <c r="I17" s="87" t="s">
        <v>322</v>
      </c>
      <c r="J17" s="85">
        <f t="shared" ref="J17:K18" si="0">E49</f>
        <v>723.21</v>
      </c>
      <c r="K17" s="85">
        <f t="shared" si="0"/>
        <v>691.19</v>
      </c>
    </row>
    <row r="18" spans="1:11">
      <c r="A18" s="873"/>
      <c r="B18" s="1059"/>
      <c r="C18" s="83" t="s">
        <v>15</v>
      </c>
      <c r="D18" s="82" t="s">
        <v>87</v>
      </c>
      <c r="E18" s="85">
        <f>ACT!K16</f>
        <v>0</v>
      </c>
      <c r="F18" s="85">
        <f>ACT!L16</f>
        <v>0</v>
      </c>
      <c r="G18" s="84"/>
      <c r="H18" s="86" t="s">
        <v>338</v>
      </c>
      <c r="I18" s="87" t="s">
        <v>339</v>
      </c>
      <c r="J18" s="85">
        <f t="shared" si="0"/>
        <v>556</v>
      </c>
      <c r="K18" s="85">
        <f t="shared" si="0"/>
        <v>305</v>
      </c>
    </row>
    <row r="19" spans="1:11">
      <c r="A19" s="873"/>
      <c r="B19" s="1059"/>
      <c r="C19" s="83" t="s">
        <v>16</v>
      </c>
      <c r="D19" s="82" t="s">
        <v>88</v>
      </c>
      <c r="E19" s="85">
        <f>ACT!K17</f>
        <v>0</v>
      </c>
      <c r="F19" s="85">
        <f>ACT!L17</f>
        <v>0</v>
      </c>
      <c r="G19" s="84"/>
      <c r="H19" s="86" t="s">
        <v>340</v>
      </c>
      <c r="I19" s="87" t="s">
        <v>341</v>
      </c>
      <c r="J19" s="85">
        <f>E56</f>
        <v>6.26</v>
      </c>
      <c r="K19" s="85">
        <f>F56</f>
        <v>19.062999999999999</v>
      </c>
    </row>
    <row r="20" spans="1:11">
      <c r="A20" s="873"/>
      <c r="B20" s="1059"/>
      <c r="C20" s="83" t="s">
        <v>17</v>
      </c>
      <c r="D20" s="82" t="s">
        <v>89</v>
      </c>
      <c r="E20" s="85">
        <f>ACT!K18</f>
        <v>0</v>
      </c>
      <c r="F20" s="85">
        <f>ACT!L18</f>
        <v>0</v>
      </c>
      <c r="G20" s="84"/>
      <c r="H20" s="86" t="s">
        <v>342</v>
      </c>
      <c r="I20" s="87" t="s">
        <v>343</v>
      </c>
      <c r="J20" s="85">
        <f>E51</f>
        <v>0</v>
      </c>
      <c r="K20" s="85">
        <f>F51</f>
        <v>0</v>
      </c>
    </row>
    <row r="21" spans="1:11">
      <c r="A21" s="873"/>
      <c r="B21" s="1059"/>
      <c r="C21" s="83" t="s">
        <v>18</v>
      </c>
      <c r="D21" s="82" t="s">
        <v>90</v>
      </c>
      <c r="E21" s="85">
        <f>ACT!K19</f>
        <v>0</v>
      </c>
      <c r="F21" s="85">
        <f>ACT!L19</f>
        <v>0</v>
      </c>
      <c r="G21" s="84"/>
      <c r="H21" s="86" t="s">
        <v>344</v>
      </c>
      <c r="I21" s="87" t="s">
        <v>345</v>
      </c>
      <c r="J21" s="85">
        <f t="shared" ref="J21:K22" si="1">E40</f>
        <v>89.58</v>
      </c>
      <c r="K21" s="85">
        <f t="shared" si="1"/>
        <v>199.63</v>
      </c>
    </row>
    <row r="22" spans="1:11">
      <c r="A22" s="873"/>
      <c r="B22" s="1059"/>
      <c r="C22" s="83" t="s">
        <v>19</v>
      </c>
      <c r="D22" s="82" t="s">
        <v>141</v>
      </c>
      <c r="E22" s="85">
        <f>ACT!K20</f>
        <v>0</v>
      </c>
      <c r="F22" s="85">
        <f>ACT!L20</f>
        <v>0</v>
      </c>
      <c r="G22" s="84"/>
      <c r="H22" s="86" t="s">
        <v>346</v>
      </c>
      <c r="I22" s="87" t="s">
        <v>347</v>
      </c>
      <c r="J22" s="85">
        <f t="shared" si="1"/>
        <v>0</v>
      </c>
      <c r="K22" s="85">
        <f t="shared" si="1"/>
        <v>6.9210000000000003</v>
      </c>
    </row>
    <row r="23" spans="1:11">
      <c r="A23" s="873"/>
      <c r="B23" s="1059"/>
      <c r="C23" s="83" t="s">
        <v>142</v>
      </c>
      <c r="D23" s="82" t="s">
        <v>143</v>
      </c>
      <c r="E23" s="85">
        <f>ACT!K21</f>
        <v>0</v>
      </c>
      <c r="F23" s="85">
        <f>ACT!L21</f>
        <v>0</v>
      </c>
      <c r="G23" s="84"/>
      <c r="H23" s="86" t="s">
        <v>348</v>
      </c>
      <c r="I23" s="87" t="s">
        <v>349</v>
      </c>
      <c r="J23" s="85">
        <f>E78</f>
        <v>24.14</v>
      </c>
      <c r="K23" s="85">
        <f>F78</f>
        <v>28.939</v>
      </c>
    </row>
    <row r="24" spans="1:11">
      <c r="A24" s="873"/>
      <c r="B24" s="1059"/>
      <c r="C24" s="83" t="s">
        <v>20</v>
      </c>
      <c r="D24" s="82" t="s">
        <v>91</v>
      </c>
      <c r="E24" s="85">
        <f>ACT!K22</f>
        <v>0</v>
      </c>
      <c r="F24" s="85">
        <f>ACT!L22</f>
        <v>0</v>
      </c>
      <c r="G24" s="84"/>
      <c r="H24" s="86" t="s">
        <v>350</v>
      </c>
      <c r="I24" s="87" t="s">
        <v>351</v>
      </c>
      <c r="J24" s="85">
        <f>IFERROR(E81+E36+E37+E39,"")</f>
        <v>0.193</v>
      </c>
      <c r="K24" s="85">
        <f>IFERROR(F81+F36+F37+F39,"")</f>
        <v>0</v>
      </c>
    </row>
    <row r="25" spans="1:11">
      <c r="A25" s="873"/>
      <c r="B25" s="1059"/>
      <c r="C25" s="83" t="s">
        <v>21</v>
      </c>
      <c r="D25" s="82" t="s">
        <v>144</v>
      </c>
      <c r="E25" s="85">
        <f>ACT!K23</f>
        <v>0</v>
      </c>
      <c r="F25" s="85">
        <f>ACT!L23</f>
        <v>0</v>
      </c>
      <c r="G25" s="84"/>
      <c r="H25" s="86" t="s">
        <v>352</v>
      </c>
      <c r="I25" s="87" t="s">
        <v>353</v>
      </c>
      <c r="J25" s="85">
        <f>E79</f>
        <v>13</v>
      </c>
      <c r="K25" s="85">
        <f>F79</f>
        <v>7.44</v>
      </c>
    </row>
    <row r="26" spans="1:11">
      <c r="A26" s="873"/>
      <c r="B26" s="1059"/>
      <c r="C26" s="83" t="s">
        <v>22</v>
      </c>
      <c r="D26" s="82" t="s">
        <v>92</v>
      </c>
      <c r="E26" s="85">
        <f>ACT!K24</f>
        <v>0</v>
      </c>
      <c r="F26" s="85">
        <f>ACT!L24</f>
        <v>0</v>
      </c>
      <c r="G26" s="84"/>
      <c r="H26" s="86" t="s">
        <v>354</v>
      </c>
      <c r="I26" s="87" t="s">
        <v>355</v>
      </c>
      <c r="J26" s="85">
        <f>E10</f>
        <v>0</v>
      </c>
      <c r="K26" s="85">
        <f>F10</f>
        <v>0</v>
      </c>
    </row>
    <row r="27" spans="1:11">
      <c r="A27" s="873"/>
      <c r="B27" s="1059"/>
      <c r="C27" s="83" t="s">
        <v>23</v>
      </c>
      <c r="D27" s="82" t="s">
        <v>93</v>
      </c>
      <c r="E27" s="85">
        <f>ACT!K25</f>
        <v>94.81</v>
      </c>
      <c r="F27" s="85">
        <f>ACT!L25</f>
        <v>672.3</v>
      </c>
      <c r="G27" s="84"/>
      <c r="H27" s="86" t="s">
        <v>356</v>
      </c>
      <c r="I27" s="87" t="s">
        <v>357</v>
      </c>
      <c r="J27" s="85">
        <f>IFERROR(E72+E69+E70+E74,"")</f>
        <v>26215.403908550979</v>
      </c>
      <c r="K27" s="85">
        <f>IFERROR(F72+F69+F70+F74,"")</f>
        <v>26215.403908550979</v>
      </c>
    </row>
    <row r="28" spans="1:11">
      <c r="A28" s="873"/>
      <c r="B28" s="1059"/>
      <c r="C28" s="83" t="s">
        <v>24</v>
      </c>
      <c r="D28" s="82" t="s">
        <v>94</v>
      </c>
      <c r="E28" s="85">
        <f>ACT!K26</f>
        <v>0</v>
      </c>
      <c r="F28" s="85">
        <f>ACT!L26</f>
        <v>0</v>
      </c>
      <c r="G28" s="760" t="s">
        <v>426</v>
      </c>
      <c r="H28" s="93"/>
      <c r="I28" s="94" t="s">
        <v>407</v>
      </c>
      <c r="J28" s="95"/>
      <c r="K28" s="96"/>
    </row>
    <row r="29" spans="1:11">
      <c r="A29" s="873"/>
      <c r="B29" s="1059"/>
      <c r="C29" s="83" t="s">
        <v>25</v>
      </c>
      <c r="D29" s="82" t="s">
        <v>145</v>
      </c>
      <c r="E29" s="85">
        <f>ACT!K27</f>
        <v>0</v>
      </c>
      <c r="F29" s="85">
        <f>ACT!L27</f>
        <v>0</v>
      </c>
      <c r="G29" s="84"/>
      <c r="H29" s="86" t="s">
        <v>358</v>
      </c>
      <c r="I29" s="87" t="s">
        <v>84</v>
      </c>
      <c r="J29" s="85">
        <f>E15</f>
        <v>0</v>
      </c>
      <c r="K29" s="85">
        <f>F15</f>
        <v>0</v>
      </c>
    </row>
    <row r="30" spans="1:11">
      <c r="A30" s="873"/>
      <c r="B30" s="1059"/>
      <c r="C30" s="83" t="s">
        <v>146</v>
      </c>
      <c r="D30" s="82" t="s">
        <v>147</v>
      </c>
      <c r="E30" s="85">
        <f>ACT!K28</f>
        <v>0</v>
      </c>
      <c r="F30" s="85">
        <f>ACT!L28</f>
        <v>0</v>
      </c>
      <c r="G30" s="84"/>
      <c r="H30" s="86" t="s">
        <v>359</v>
      </c>
      <c r="I30" s="87" t="s">
        <v>90</v>
      </c>
      <c r="J30" s="85">
        <f>E21</f>
        <v>0</v>
      </c>
      <c r="K30" s="85">
        <f>F21</f>
        <v>0</v>
      </c>
    </row>
    <row r="31" spans="1:11">
      <c r="A31" s="873"/>
      <c r="B31" s="1059"/>
      <c r="C31" s="83" t="s">
        <v>148</v>
      </c>
      <c r="D31" s="82" t="s">
        <v>149</v>
      </c>
      <c r="E31" s="85">
        <f>ACT!K29</f>
        <v>0</v>
      </c>
      <c r="F31" s="85">
        <f>ACT!L29</f>
        <v>0</v>
      </c>
      <c r="G31" s="84"/>
      <c r="H31" s="86" t="s">
        <v>360</v>
      </c>
      <c r="I31" s="87" t="s">
        <v>361</v>
      </c>
      <c r="J31" s="85">
        <f>E19</f>
        <v>0</v>
      </c>
      <c r="K31" s="85">
        <f>F19</f>
        <v>0</v>
      </c>
    </row>
    <row r="32" spans="1:11">
      <c r="A32" s="873"/>
      <c r="B32" s="1059"/>
      <c r="C32" s="83" t="s">
        <v>26</v>
      </c>
      <c r="D32" s="82" t="s">
        <v>150</v>
      </c>
      <c r="E32" s="85">
        <f>ACT!K30</f>
        <v>0</v>
      </c>
      <c r="F32" s="85">
        <f>ACT!L30</f>
        <v>0</v>
      </c>
      <c r="G32" s="84"/>
      <c r="H32" s="86" t="s">
        <v>362</v>
      </c>
      <c r="I32" s="87" t="s">
        <v>91</v>
      </c>
      <c r="J32" s="85">
        <f>E24</f>
        <v>0</v>
      </c>
      <c r="K32" s="85">
        <f>F24</f>
        <v>0</v>
      </c>
    </row>
    <row r="33" spans="1:11">
      <c r="A33" s="873"/>
      <c r="B33" s="1059"/>
      <c r="C33" s="83" t="s">
        <v>27</v>
      </c>
      <c r="D33" s="82" t="s">
        <v>95</v>
      </c>
      <c r="E33" s="85">
        <f>ACT!K31</f>
        <v>0</v>
      </c>
      <c r="F33" s="85">
        <f>ACT!L31</f>
        <v>0</v>
      </c>
      <c r="G33" s="84"/>
      <c r="H33" s="86" t="s">
        <v>363</v>
      </c>
      <c r="I33" s="87" t="s">
        <v>94</v>
      </c>
      <c r="J33" s="85">
        <f>E28</f>
        <v>0</v>
      </c>
      <c r="K33" s="85">
        <f>F28</f>
        <v>0</v>
      </c>
    </row>
    <row r="34" spans="1:11">
      <c r="A34" s="873"/>
      <c r="B34" s="1059"/>
      <c r="C34" s="83" t="s">
        <v>28</v>
      </c>
      <c r="D34" s="82" t="s">
        <v>96</v>
      </c>
      <c r="E34" s="85">
        <f>ACT!K32</f>
        <v>0</v>
      </c>
      <c r="F34" s="85">
        <f>ACT!L32</f>
        <v>0</v>
      </c>
      <c r="G34" s="84"/>
      <c r="H34" s="86" t="s">
        <v>364</v>
      </c>
      <c r="I34" s="87" t="s">
        <v>87</v>
      </c>
      <c r="J34" s="85">
        <f>E18</f>
        <v>0</v>
      </c>
      <c r="K34" s="85">
        <f>F18</f>
        <v>0</v>
      </c>
    </row>
    <row r="35" spans="1:11">
      <c r="A35" s="873"/>
      <c r="B35" s="1059"/>
      <c r="C35" s="83" t="s">
        <v>29</v>
      </c>
      <c r="D35" s="82" t="s">
        <v>97</v>
      </c>
      <c r="E35" s="85">
        <f>ACT!K33</f>
        <v>0</v>
      </c>
      <c r="F35" s="85">
        <f>ACT!L33</f>
        <v>0</v>
      </c>
      <c r="G35" s="84"/>
      <c r="H35" s="86" t="s">
        <v>365</v>
      </c>
      <c r="I35" s="87" t="s">
        <v>145</v>
      </c>
      <c r="J35" s="85">
        <f>E29</f>
        <v>0</v>
      </c>
      <c r="K35" s="85">
        <f>F29</f>
        <v>0</v>
      </c>
    </row>
    <row r="36" spans="1:11">
      <c r="A36" s="873"/>
      <c r="B36" s="1059"/>
      <c r="C36" s="83" t="s">
        <v>99</v>
      </c>
      <c r="D36" s="82" t="s">
        <v>98</v>
      </c>
      <c r="E36" s="85">
        <f>ACT!K34</f>
        <v>0</v>
      </c>
      <c r="F36" s="85">
        <f>ACT!L34</f>
        <v>0</v>
      </c>
      <c r="G36" s="84"/>
      <c r="H36" s="86" t="s">
        <v>366</v>
      </c>
      <c r="I36" s="87" t="s">
        <v>89</v>
      </c>
      <c r="J36" s="85">
        <f>E20</f>
        <v>0</v>
      </c>
      <c r="K36" s="85">
        <f>F20</f>
        <v>0</v>
      </c>
    </row>
    <row r="37" spans="1:11">
      <c r="A37" s="873"/>
      <c r="B37" s="1059"/>
      <c r="C37" s="83" t="s">
        <v>101</v>
      </c>
      <c r="D37" s="82" t="s">
        <v>100</v>
      </c>
      <c r="E37" s="85">
        <f>ACT!K35</f>
        <v>0</v>
      </c>
      <c r="F37" s="85">
        <f>ACT!L35</f>
        <v>0</v>
      </c>
      <c r="G37" s="84"/>
      <c r="H37" s="86" t="s">
        <v>367</v>
      </c>
      <c r="I37" s="87" t="s">
        <v>141</v>
      </c>
      <c r="J37" s="85">
        <f>E22</f>
        <v>0</v>
      </c>
      <c r="K37" s="85">
        <f>F22</f>
        <v>0</v>
      </c>
    </row>
    <row r="38" spans="1:11">
      <c r="A38" s="874"/>
      <c r="B38" s="1060"/>
      <c r="C38" s="83" t="s">
        <v>30</v>
      </c>
      <c r="D38" s="82" t="s">
        <v>151</v>
      </c>
      <c r="E38" s="85">
        <f>ACT!K36</f>
        <v>0</v>
      </c>
      <c r="F38" s="85">
        <f>ACT!L36</f>
        <v>0</v>
      </c>
      <c r="G38" s="84"/>
      <c r="H38" s="86" t="s">
        <v>368</v>
      </c>
      <c r="I38" s="87" t="s">
        <v>147</v>
      </c>
      <c r="J38" s="85">
        <f>E30</f>
        <v>0</v>
      </c>
      <c r="K38" s="85">
        <f>F30</f>
        <v>0</v>
      </c>
    </row>
    <row r="39" spans="1:11">
      <c r="A39" s="90" t="s">
        <v>31</v>
      </c>
      <c r="B39" s="761" t="s">
        <v>32</v>
      </c>
      <c r="C39" s="83" t="s">
        <v>33</v>
      </c>
      <c r="D39" s="82" t="s">
        <v>102</v>
      </c>
      <c r="E39" s="85">
        <f>ACT!K37</f>
        <v>0.193</v>
      </c>
      <c r="F39" s="85">
        <f>ACT!L37</f>
        <v>0</v>
      </c>
      <c r="G39" s="84"/>
      <c r="H39" s="86" t="s">
        <v>369</v>
      </c>
      <c r="I39" s="87" t="s">
        <v>86</v>
      </c>
      <c r="J39" s="85">
        <f>E17</f>
        <v>6.97</v>
      </c>
      <c r="K39" s="85">
        <f>F17</f>
        <v>7.81</v>
      </c>
    </row>
    <row r="40" spans="1:11" ht="12.75" customHeight="1">
      <c r="A40" s="872" t="s">
        <v>34</v>
      </c>
      <c r="B40" s="1058" t="s">
        <v>152</v>
      </c>
      <c r="C40" s="83" t="s">
        <v>35</v>
      </c>
      <c r="D40" s="82" t="s">
        <v>103</v>
      </c>
      <c r="E40" s="85">
        <f>ACT!K38</f>
        <v>89.58</v>
      </c>
      <c r="F40" s="85">
        <f>ACT!L38</f>
        <v>199.63</v>
      </c>
      <c r="G40" s="84"/>
      <c r="H40" s="86" t="s">
        <v>370</v>
      </c>
      <c r="I40" s="87" t="s">
        <v>143</v>
      </c>
      <c r="J40" s="85">
        <f>E23</f>
        <v>0</v>
      </c>
      <c r="K40" s="85">
        <f>F23</f>
        <v>0</v>
      </c>
    </row>
    <row r="41" spans="1:11">
      <c r="A41" s="874"/>
      <c r="B41" s="1060"/>
      <c r="C41" s="83" t="s">
        <v>105</v>
      </c>
      <c r="D41" s="82" t="s">
        <v>104</v>
      </c>
      <c r="E41" s="85">
        <f>ACT!K39</f>
        <v>0</v>
      </c>
      <c r="F41" s="85">
        <f>ACT!L39</f>
        <v>6.9210000000000003</v>
      </c>
      <c r="G41" s="84"/>
      <c r="H41" s="86" t="s">
        <v>371</v>
      </c>
      <c r="I41" s="87" t="s">
        <v>93</v>
      </c>
      <c r="J41" s="85">
        <f>E27</f>
        <v>94.81</v>
      </c>
      <c r="K41" s="85">
        <f>F27</f>
        <v>672.3</v>
      </c>
    </row>
    <row r="42" spans="1:11">
      <c r="A42" s="872" t="s">
        <v>37</v>
      </c>
      <c r="B42" s="1058" t="s">
        <v>153</v>
      </c>
      <c r="C42" s="83" t="s">
        <v>38</v>
      </c>
      <c r="D42" s="82" t="s">
        <v>106</v>
      </c>
      <c r="E42" s="85">
        <f>ACT!K40</f>
        <v>0</v>
      </c>
      <c r="F42" s="85">
        <f>ACT!L40</f>
        <v>0</v>
      </c>
      <c r="G42" s="84"/>
      <c r="H42" s="86" t="s">
        <v>372</v>
      </c>
      <c r="I42" s="87" t="s">
        <v>85</v>
      </c>
      <c r="J42" s="85">
        <f>E16</f>
        <v>0</v>
      </c>
      <c r="K42" s="85">
        <f>F16</f>
        <v>0</v>
      </c>
    </row>
    <row r="43" spans="1:11">
      <c r="A43" s="873"/>
      <c r="B43" s="1059"/>
      <c r="C43" s="83" t="s">
        <v>39</v>
      </c>
      <c r="D43" s="82" t="s">
        <v>107</v>
      </c>
      <c r="E43" s="85">
        <f>ACT!K41</f>
        <v>42.4</v>
      </c>
      <c r="F43" s="85">
        <f>ACT!L41</f>
        <v>20.49</v>
      </c>
      <c r="G43" s="84"/>
      <c r="H43" s="86" t="s">
        <v>373</v>
      </c>
      <c r="I43" s="87" t="s">
        <v>374</v>
      </c>
      <c r="J43" s="85">
        <f t="shared" ref="J43:K45" si="2">E12</f>
        <v>8.5000000000000006E-3</v>
      </c>
      <c r="K43" s="85">
        <f t="shared" si="2"/>
        <v>0</v>
      </c>
    </row>
    <row r="44" spans="1:11">
      <c r="A44" s="873"/>
      <c r="B44" s="1059"/>
      <c r="C44" s="83" t="s">
        <v>40</v>
      </c>
      <c r="D44" s="82" t="s">
        <v>108</v>
      </c>
      <c r="E44" s="85">
        <f>ACT!K42</f>
        <v>1.93</v>
      </c>
      <c r="F44" s="85">
        <f>ACT!L42</f>
        <v>2.8</v>
      </c>
      <c r="G44" s="84"/>
      <c r="H44" s="86" t="s">
        <v>375</v>
      </c>
      <c r="I44" s="87" t="s">
        <v>82</v>
      </c>
      <c r="J44" s="85">
        <f t="shared" si="2"/>
        <v>0</v>
      </c>
      <c r="K44" s="85">
        <f t="shared" si="2"/>
        <v>0</v>
      </c>
    </row>
    <row r="45" spans="1:11">
      <c r="A45" s="874"/>
      <c r="B45" s="1060"/>
      <c r="C45" s="83" t="s">
        <v>41</v>
      </c>
      <c r="D45" s="82" t="s">
        <v>109</v>
      </c>
      <c r="E45" s="85">
        <f>ACT!K43</f>
        <v>0</v>
      </c>
      <c r="F45" s="85">
        <f>ACT!L43</f>
        <v>0</v>
      </c>
      <c r="G45" s="84"/>
      <c r="H45" s="86" t="s">
        <v>376</v>
      </c>
      <c r="I45" s="87" t="s">
        <v>83</v>
      </c>
      <c r="J45" s="85">
        <f t="shared" si="2"/>
        <v>449.6</v>
      </c>
      <c r="K45" s="85">
        <f t="shared" si="2"/>
        <v>230.9</v>
      </c>
    </row>
    <row r="46" spans="1:11">
      <c r="A46" s="872" t="s">
        <v>42</v>
      </c>
      <c r="B46" s="1058" t="s">
        <v>154</v>
      </c>
      <c r="C46" s="83" t="s">
        <v>43</v>
      </c>
      <c r="D46" s="82" t="s">
        <v>110</v>
      </c>
      <c r="E46" s="85">
        <f>ACT!K44</f>
        <v>0</v>
      </c>
      <c r="F46" s="85">
        <f>ACT!L44</f>
        <v>0</v>
      </c>
      <c r="G46" s="84"/>
      <c r="H46" s="86" t="s">
        <v>377</v>
      </c>
      <c r="I46" s="87" t="s">
        <v>378</v>
      </c>
      <c r="J46" s="85">
        <f>E73</f>
        <v>0</v>
      </c>
      <c r="K46" s="85">
        <f>F73</f>
        <v>0</v>
      </c>
    </row>
    <row r="47" spans="1:11">
      <c r="A47" s="873"/>
      <c r="B47" s="1059"/>
      <c r="C47" s="83" t="s">
        <v>44</v>
      </c>
      <c r="D47" s="82" t="s">
        <v>111</v>
      </c>
      <c r="E47" s="85">
        <f>ACT!K45</f>
        <v>0</v>
      </c>
      <c r="F47" s="85">
        <f>ACT!L45</f>
        <v>0</v>
      </c>
      <c r="G47" s="760" t="str">
        <f>G28</f>
        <v>ACT</v>
      </c>
      <c r="H47" s="86" t="s">
        <v>379</v>
      </c>
      <c r="I47" s="87" t="s">
        <v>176</v>
      </c>
      <c r="J47" s="85">
        <f>E47</f>
        <v>0</v>
      </c>
      <c r="K47" s="85">
        <f>F47</f>
        <v>0</v>
      </c>
    </row>
    <row r="48" spans="1:11">
      <c r="A48" s="874"/>
      <c r="B48" s="1060"/>
      <c r="C48" s="83" t="s">
        <v>45</v>
      </c>
      <c r="D48" s="82" t="s">
        <v>155</v>
      </c>
      <c r="E48" s="85">
        <f>ACT!K46</f>
        <v>0</v>
      </c>
      <c r="F48" s="85">
        <f>ACT!L46</f>
        <v>0</v>
      </c>
      <c r="G48" s="84"/>
      <c r="H48" s="86" t="s">
        <v>380</v>
      </c>
      <c r="I48" s="87" t="s">
        <v>381</v>
      </c>
      <c r="J48" s="85">
        <f>E61</f>
        <v>0</v>
      </c>
      <c r="K48" s="85">
        <f>F61</f>
        <v>0</v>
      </c>
    </row>
    <row r="49" spans="1:11">
      <c r="A49" s="872" t="s">
        <v>46</v>
      </c>
      <c r="B49" s="1058" t="s">
        <v>156</v>
      </c>
      <c r="C49" s="83" t="s">
        <v>47</v>
      </c>
      <c r="D49" s="82" t="s">
        <v>112</v>
      </c>
      <c r="E49" s="85">
        <f>ACT!K47</f>
        <v>723.21</v>
      </c>
      <c r="F49" s="85">
        <f>ACT!L47</f>
        <v>691.19</v>
      </c>
      <c r="G49" s="84"/>
      <c r="H49" s="86" t="s">
        <v>382</v>
      </c>
      <c r="I49" s="87" t="s">
        <v>383</v>
      </c>
      <c r="J49" s="85">
        <f>E57</f>
        <v>0</v>
      </c>
      <c r="K49" s="85">
        <f>F57</f>
        <v>0</v>
      </c>
    </row>
    <row r="50" spans="1:11">
      <c r="A50" s="873"/>
      <c r="B50" s="1059"/>
      <c r="C50" s="83" t="s">
        <v>48</v>
      </c>
      <c r="D50" s="82" t="s">
        <v>157</v>
      </c>
      <c r="E50" s="85">
        <f>ACT!K48</f>
        <v>556</v>
      </c>
      <c r="F50" s="85">
        <f>ACT!L48</f>
        <v>305</v>
      </c>
      <c r="G50" s="84"/>
      <c r="H50" s="86" t="s">
        <v>384</v>
      </c>
      <c r="I50" s="87" t="s">
        <v>106</v>
      </c>
      <c r="J50" s="85">
        <f>E42</f>
        <v>0</v>
      </c>
      <c r="K50" s="85">
        <f>F42</f>
        <v>0</v>
      </c>
    </row>
    <row r="51" spans="1:11">
      <c r="A51" s="874"/>
      <c r="B51" s="1060"/>
      <c r="C51" s="83" t="s">
        <v>49</v>
      </c>
      <c r="D51" s="82" t="s">
        <v>158</v>
      </c>
      <c r="E51" s="85">
        <f>ACT!K49</f>
        <v>0</v>
      </c>
      <c r="F51" s="85">
        <f>ACT!L49</f>
        <v>0</v>
      </c>
      <c r="G51" s="84"/>
      <c r="H51" s="86" t="s">
        <v>385</v>
      </c>
      <c r="I51" s="87" t="s">
        <v>108</v>
      </c>
      <c r="J51" s="85">
        <f>E44</f>
        <v>1.93</v>
      </c>
      <c r="K51" s="85">
        <f>F44</f>
        <v>2.8</v>
      </c>
    </row>
    <row r="52" spans="1:11">
      <c r="A52" s="872" t="s">
        <v>50</v>
      </c>
      <c r="B52" s="1058" t="s">
        <v>159</v>
      </c>
      <c r="C52" s="83" t="s">
        <v>51</v>
      </c>
      <c r="D52" s="82" t="s">
        <v>113</v>
      </c>
      <c r="E52" s="85">
        <f>ACT!K50</f>
        <v>0</v>
      </c>
      <c r="F52" s="85">
        <f>ACT!L50</f>
        <v>0</v>
      </c>
      <c r="G52" s="84"/>
      <c r="H52" s="86" t="s">
        <v>386</v>
      </c>
      <c r="I52" s="87" t="s">
        <v>107</v>
      </c>
      <c r="J52" s="85">
        <f>E43</f>
        <v>42.4</v>
      </c>
      <c r="K52" s="85">
        <f>F43</f>
        <v>20.49</v>
      </c>
    </row>
    <row r="53" spans="1:11">
      <c r="A53" s="873"/>
      <c r="B53" s="1059"/>
      <c r="C53" s="83" t="s">
        <v>115</v>
      </c>
      <c r="D53" s="82" t="s">
        <v>114</v>
      </c>
      <c r="E53" s="85">
        <f>ACT!K51</f>
        <v>2648</v>
      </c>
      <c r="F53" s="85">
        <f>ACT!L51</f>
        <v>2305</v>
      </c>
      <c r="G53" s="84"/>
      <c r="H53" s="86" t="s">
        <v>387</v>
      </c>
      <c r="I53" s="87" t="s">
        <v>388</v>
      </c>
      <c r="J53" s="85">
        <f t="shared" ref="J53:K54" si="3">E59</f>
        <v>0</v>
      </c>
      <c r="K53" s="85">
        <f t="shared" si="3"/>
        <v>0</v>
      </c>
    </row>
    <row r="54" spans="1:11">
      <c r="A54" s="873"/>
      <c r="B54" s="1059"/>
      <c r="C54" s="83" t="s">
        <v>52</v>
      </c>
      <c r="D54" s="82" t="s">
        <v>116</v>
      </c>
      <c r="E54" s="85">
        <f>ACT!K52</f>
        <v>0</v>
      </c>
      <c r="F54" s="85">
        <f>ACT!L52</f>
        <v>0</v>
      </c>
      <c r="G54" s="84"/>
      <c r="H54" s="86" t="s">
        <v>389</v>
      </c>
      <c r="I54" s="87" t="s">
        <v>390</v>
      </c>
      <c r="J54" s="85">
        <f t="shared" si="3"/>
        <v>0</v>
      </c>
      <c r="K54" s="85">
        <f t="shared" si="3"/>
        <v>0</v>
      </c>
    </row>
    <row r="55" spans="1:11">
      <c r="A55" s="874"/>
      <c r="B55" s="1060"/>
      <c r="C55" s="83" t="s">
        <v>118</v>
      </c>
      <c r="D55" s="82" t="s">
        <v>117</v>
      </c>
      <c r="E55" s="85">
        <f>ACT!K53</f>
        <v>0</v>
      </c>
      <c r="F55" s="85">
        <f>ACT!L53</f>
        <v>0</v>
      </c>
      <c r="G55" s="84"/>
      <c r="H55" s="86" t="s">
        <v>391</v>
      </c>
      <c r="I55" s="87" t="s">
        <v>392</v>
      </c>
      <c r="J55" s="85">
        <f>E58</f>
        <v>0</v>
      </c>
      <c r="K55" s="85">
        <f>F58</f>
        <v>0</v>
      </c>
    </row>
    <row r="56" spans="1:11">
      <c r="A56" s="872" t="s">
        <v>53</v>
      </c>
      <c r="B56" s="1058" t="s">
        <v>54</v>
      </c>
      <c r="C56" s="83" t="s">
        <v>55</v>
      </c>
      <c r="D56" s="82" t="s">
        <v>160</v>
      </c>
      <c r="E56" s="85">
        <f>ACT!K54</f>
        <v>6.26</v>
      </c>
      <c r="F56" s="85">
        <f>ACT!L54</f>
        <v>19.062999999999999</v>
      </c>
      <c r="G56" s="84"/>
      <c r="H56" s="93"/>
      <c r="I56" s="94" t="s">
        <v>405</v>
      </c>
      <c r="J56" s="95"/>
      <c r="K56" s="96"/>
    </row>
    <row r="57" spans="1:11">
      <c r="A57" s="873"/>
      <c r="B57" s="1059"/>
      <c r="C57" s="83" t="s">
        <v>56</v>
      </c>
      <c r="D57" s="82" t="s">
        <v>161</v>
      </c>
      <c r="E57" s="85">
        <f>ACT!K55</f>
        <v>0</v>
      </c>
      <c r="F57" s="85">
        <f>ACT!L55</f>
        <v>0</v>
      </c>
      <c r="G57" s="84"/>
      <c r="H57" s="86" t="s">
        <v>393</v>
      </c>
      <c r="I57" s="87" t="s">
        <v>394</v>
      </c>
      <c r="J57" s="99">
        <f>'Gap data'!$B$23*'Gap data'!B12</f>
        <v>111499.6547218598</v>
      </c>
      <c r="K57" s="99">
        <f>'Gap data'!$B$23*'Gap data'!B13</f>
        <v>111991.48573462982</v>
      </c>
    </row>
    <row r="58" spans="1:11">
      <c r="A58" s="873"/>
      <c r="B58" s="1059"/>
      <c r="C58" s="83" t="s">
        <v>57</v>
      </c>
      <c r="D58" s="82" t="s">
        <v>162</v>
      </c>
      <c r="E58" s="85">
        <f>ACT!K56</f>
        <v>0</v>
      </c>
      <c r="F58" s="85">
        <f>ACT!L56</f>
        <v>0</v>
      </c>
      <c r="G58" s="84"/>
      <c r="H58" s="86" t="s">
        <v>395</v>
      </c>
      <c r="I58" s="87" t="s">
        <v>396</v>
      </c>
      <c r="J58" s="762">
        <v>0</v>
      </c>
      <c r="K58" s="762">
        <v>0</v>
      </c>
    </row>
    <row r="59" spans="1:11">
      <c r="A59" s="873"/>
      <c r="B59" s="1059"/>
      <c r="C59" s="83" t="s">
        <v>120</v>
      </c>
      <c r="D59" s="82" t="s">
        <v>119</v>
      </c>
      <c r="E59" s="85">
        <f>ACT!K57</f>
        <v>0</v>
      </c>
      <c r="F59" s="85">
        <f>ACT!L57</f>
        <v>0</v>
      </c>
      <c r="G59" s="84"/>
      <c r="H59" s="100"/>
      <c r="I59" s="101" t="s">
        <v>408</v>
      </c>
      <c r="J59" s="102"/>
      <c r="K59" s="103"/>
    </row>
    <row r="60" spans="1:11">
      <c r="A60" s="873"/>
      <c r="B60" s="1059"/>
      <c r="C60" s="83" t="s">
        <v>122</v>
      </c>
      <c r="D60" s="82" t="s">
        <v>121</v>
      </c>
      <c r="E60" s="85">
        <f>ACT!K58</f>
        <v>0</v>
      </c>
      <c r="F60" s="85">
        <f>ACT!L58</f>
        <v>0</v>
      </c>
      <c r="G60" s="84"/>
      <c r="H60" s="89">
        <v>1</v>
      </c>
      <c r="I60" s="104" t="s">
        <v>397</v>
      </c>
      <c r="J60" s="85">
        <f>SUM(E25:E26,E31:E32)</f>
        <v>0</v>
      </c>
      <c r="K60" s="85">
        <f>SUM(F25:F26,F31:F32)</f>
        <v>0</v>
      </c>
    </row>
    <row r="61" spans="1:11">
      <c r="A61" s="873"/>
      <c r="B61" s="1059"/>
      <c r="C61" s="83" t="s">
        <v>124</v>
      </c>
      <c r="D61" s="82" t="s">
        <v>123</v>
      </c>
      <c r="E61" s="85">
        <f>ACT!K59</f>
        <v>0</v>
      </c>
      <c r="F61" s="85">
        <f>ACT!L59</f>
        <v>0</v>
      </c>
      <c r="G61" s="84"/>
      <c r="H61" s="89">
        <v>2</v>
      </c>
      <c r="I61" s="104" t="s">
        <v>398</v>
      </c>
      <c r="J61" s="85">
        <f>SUM(E33:E35,E38)</f>
        <v>0</v>
      </c>
      <c r="K61" s="85">
        <f>SUM(F33:F35,F38)</f>
        <v>0</v>
      </c>
    </row>
    <row r="62" spans="1:11">
      <c r="A62" s="873"/>
      <c r="B62" s="1059"/>
      <c r="C62" s="83" t="s">
        <v>58</v>
      </c>
      <c r="D62" s="82" t="s">
        <v>136</v>
      </c>
      <c r="E62" s="85">
        <f>ACT!K60</f>
        <v>0</v>
      </c>
      <c r="F62" s="85">
        <f>ACT!L60</f>
        <v>0</v>
      </c>
      <c r="G62" s="84"/>
      <c r="H62" s="89">
        <v>3</v>
      </c>
      <c r="I62" s="104" t="s">
        <v>323</v>
      </c>
      <c r="J62" s="85">
        <f>SUM(E62:E65)</f>
        <v>0</v>
      </c>
      <c r="K62" s="85">
        <f>SUM(F62:F65)</f>
        <v>0</v>
      </c>
    </row>
    <row r="63" spans="1:11">
      <c r="A63" s="873"/>
      <c r="B63" s="1059"/>
      <c r="C63" s="83" t="s">
        <v>59</v>
      </c>
      <c r="D63" s="82" t="s">
        <v>125</v>
      </c>
      <c r="E63" s="85">
        <f>ACT!K61</f>
        <v>0</v>
      </c>
      <c r="F63" s="85">
        <f>ACT!L61</f>
        <v>0</v>
      </c>
      <c r="G63" s="84"/>
      <c r="H63" s="89">
        <v>4</v>
      </c>
      <c r="I63" s="104" t="s">
        <v>159</v>
      </c>
      <c r="J63" s="85">
        <f t="shared" ref="J63" si="4">SUM(E52:E55)</f>
        <v>2648</v>
      </c>
      <c r="K63" s="85">
        <f t="shared" ref="K63" si="5">SUM(F52:F55)</f>
        <v>2305</v>
      </c>
    </row>
    <row r="64" spans="1:11">
      <c r="A64" s="873"/>
      <c r="B64" s="1059"/>
      <c r="C64" s="83" t="s">
        <v>60</v>
      </c>
      <c r="D64" s="82" t="s">
        <v>163</v>
      </c>
      <c r="E64" s="85">
        <f>ACT!K62</f>
        <v>0</v>
      </c>
      <c r="F64" s="85">
        <f>ACT!L62</f>
        <v>0</v>
      </c>
      <c r="G64" s="84"/>
      <c r="H64" s="89">
        <v>5</v>
      </c>
      <c r="I64" s="82" t="s">
        <v>399</v>
      </c>
      <c r="J64" s="85">
        <f>E66</f>
        <v>1.66</v>
      </c>
      <c r="K64" s="85">
        <f>F66</f>
        <v>1.59</v>
      </c>
    </row>
    <row r="65" spans="1:11">
      <c r="A65" s="874"/>
      <c r="B65" s="1060"/>
      <c r="C65" s="83" t="s">
        <v>61</v>
      </c>
      <c r="D65" s="82" t="s">
        <v>126</v>
      </c>
      <c r="E65" s="85">
        <f>ACT!K63</f>
        <v>0</v>
      </c>
      <c r="F65" s="85">
        <f>ACT!L63</f>
        <v>0</v>
      </c>
      <c r="G65" s="84"/>
      <c r="H65" s="89">
        <v>6</v>
      </c>
      <c r="I65" s="105" t="s">
        <v>462</v>
      </c>
      <c r="J65" s="763">
        <f t="shared" ref="J65" si="6">E67</f>
        <v>1908.36</v>
      </c>
      <c r="K65" s="763">
        <f t="shared" ref="K65" si="7">F67</f>
        <v>439.63</v>
      </c>
    </row>
    <row r="66" spans="1:11">
      <c r="A66" s="872" t="s">
        <v>62</v>
      </c>
      <c r="B66" s="1058" t="s">
        <v>164</v>
      </c>
      <c r="C66" s="83" t="s">
        <v>63</v>
      </c>
      <c r="D66" s="82" t="s">
        <v>165</v>
      </c>
      <c r="E66" s="85">
        <f>ACT!K64</f>
        <v>1.66</v>
      </c>
      <c r="F66" s="85">
        <f>ACT!L64</f>
        <v>1.59</v>
      </c>
      <c r="H66" s="89">
        <v>7</v>
      </c>
      <c r="I66" s="105" t="s">
        <v>463</v>
      </c>
      <c r="J66" s="763">
        <f>SUM(E68,E71)</f>
        <v>0</v>
      </c>
      <c r="K66" s="763">
        <f>SUM(F68,F71)</f>
        <v>0</v>
      </c>
    </row>
    <row r="67" spans="1:11">
      <c r="A67" s="873"/>
      <c r="B67" s="1059"/>
      <c r="C67" s="83" t="s">
        <v>64</v>
      </c>
      <c r="D67" s="82" t="s">
        <v>127</v>
      </c>
      <c r="E67" s="85">
        <f>ACT!K65</f>
        <v>1908.36</v>
      </c>
      <c r="F67" s="85">
        <f>ACT!L65</f>
        <v>439.63</v>
      </c>
      <c r="G67" s="760" t="str">
        <f>G47</f>
        <v>ACT</v>
      </c>
      <c r="H67" s="89">
        <v>8</v>
      </c>
      <c r="I67" s="104" t="s">
        <v>133</v>
      </c>
      <c r="J67" s="85">
        <f>E80</f>
        <v>1881</v>
      </c>
      <c r="K67" s="85">
        <f>F80</f>
        <v>1881</v>
      </c>
    </row>
    <row r="68" spans="1:11">
      <c r="A68" s="873"/>
      <c r="B68" s="1059"/>
      <c r="C68" s="83" t="s">
        <v>65</v>
      </c>
      <c r="D68" s="82" t="s">
        <v>166</v>
      </c>
      <c r="E68" s="85">
        <f>ACT!K66</f>
        <v>0</v>
      </c>
      <c r="F68" s="85">
        <f>ACT!L66</f>
        <v>0</v>
      </c>
      <c r="G68" s="106"/>
      <c r="H68" s="107"/>
    </row>
    <row r="69" spans="1:11">
      <c r="A69" s="873"/>
      <c r="B69" s="1059"/>
      <c r="C69" s="83" t="s">
        <v>66</v>
      </c>
      <c r="D69" s="82" t="s">
        <v>173</v>
      </c>
      <c r="E69" s="85">
        <f>ACT!K67</f>
        <v>0</v>
      </c>
      <c r="F69" s="85">
        <f>ACT!L67</f>
        <v>0</v>
      </c>
      <c r="G69" s="106"/>
      <c r="H69" s="107"/>
    </row>
    <row r="70" spans="1:11">
      <c r="A70" s="873"/>
      <c r="B70" s="1059"/>
      <c r="C70" s="83" t="s">
        <v>67</v>
      </c>
      <c r="D70" s="82" t="s">
        <v>174</v>
      </c>
      <c r="E70" s="85">
        <f>ACT!K68</f>
        <v>0</v>
      </c>
      <c r="F70" s="85">
        <f>ACT!L68</f>
        <v>0</v>
      </c>
      <c r="G70" s="106"/>
      <c r="H70" s="107"/>
    </row>
    <row r="71" spans="1:11">
      <c r="A71" s="873"/>
      <c r="B71" s="1059"/>
      <c r="C71" s="83" t="s">
        <v>68</v>
      </c>
      <c r="D71" s="82" t="s">
        <v>175</v>
      </c>
      <c r="E71" s="85">
        <f>ACT!K69</f>
        <v>0</v>
      </c>
      <c r="F71" s="85">
        <f>ACT!L69</f>
        <v>0</v>
      </c>
      <c r="G71" s="106"/>
      <c r="H71" s="107"/>
    </row>
    <row r="72" spans="1:11">
      <c r="A72" s="873"/>
      <c r="B72" s="1059"/>
      <c r="C72" s="83" t="s">
        <v>128</v>
      </c>
      <c r="D72" s="82" t="s">
        <v>167</v>
      </c>
      <c r="E72" s="108">
        <f>IF(ISNUMBER(ACT!K70),ACT!K70,0)+'Gap data'!$B$35</f>
        <v>26215.403908550979</v>
      </c>
      <c r="F72" s="108">
        <f>IF(ISNUMBER(ACT!L70),ACT!L70,0)+'Gap data'!$B$35</f>
        <v>26215.403908550979</v>
      </c>
      <c r="G72" s="106"/>
      <c r="H72" s="107"/>
    </row>
    <row r="73" spans="1:11">
      <c r="A73" s="873"/>
      <c r="B73" s="1059"/>
      <c r="C73" s="83" t="s">
        <v>69</v>
      </c>
      <c r="D73" s="82" t="s">
        <v>129</v>
      </c>
      <c r="E73" s="85">
        <f>ACT!K71</f>
        <v>0</v>
      </c>
      <c r="F73" s="85">
        <f>ACT!L71</f>
        <v>0</v>
      </c>
      <c r="G73" s="106"/>
      <c r="H73" s="107"/>
    </row>
    <row r="74" spans="1:11">
      <c r="A74" s="874"/>
      <c r="B74" s="1060"/>
      <c r="C74" s="83" t="s">
        <v>70</v>
      </c>
      <c r="D74" s="82" t="s">
        <v>168</v>
      </c>
      <c r="E74" s="85">
        <f>ACT!K72</f>
        <v>0</v>
      </c>
      <c r="F74" s="85">
        <f>ACT!L72</f>
        <v>0</v>
      </c>
      <c r="G74" s="106"/>
      <c r="H74" s="107"/>
    </row>
    <row r="75" spans="1:11">
      <c r="A75" s="872" t="s">
        <v>71</v>
      </c>
      <c r="B75" s="1058" t="s">
        <v>169</v>
      </c>
      <c r="C75" s="83" t="s">
        <v>72</v>
      </c>
      <c r="D75" s="82" t="s">
        <v>170</v>
      </c>
      <c r="E75" s="85">
        <f>ACT!K73</f>
        <v>150.13999999999999</v>
      </c>
      <c r="F75" s="85">
        <f>ACT!L73</f>
        <v>142.72</v>
      </c>
      <c r="G75" s="106"/>
      <c r="H75" s="107"/>
    </row>
    <row r="76" spans="1:11">
      <c r="A76" s="873"/>
      <c r="B76" s="1059"/>
      <c r="C76" s="83" t="s">
        <v>73</v>
      </c>
      <c r="D76" s="82" t="s">
        <v>130</v>
      </c>
      <c r="E76" s="85">
        <f>ACT!K74</f>
        <v>330</v>
      </c>
      <c r="F76" s="85">
        <f>ACT!L74</f>
        <v>156</v>
      </c>
      <c r="G76" s="106"/>
      <c r="H76" s="107"/>
    </row>
    <row r="77" spans="1:11">
      <c r="A77" s="874"/>
      <c r="B77" s="1060"/>
      <c r="C77" s="83" t="s">
        <v>74</v>
      </c>
      <c r="D77" s="82" t="s">
        <v>131</v>
      </c>
      <c r="E77" s="85">
        <f>ACT!K75</f>
        <v>0</v>
      </c>
      <c r="F77" s="85">
        <f>ACT!L75</f>
        <v>0</v>
      </c>
      <c r="G77" s="106"/>
      <c r="H77" s="107"/>
    </row>
    <row r="78" spans="1:11">
      <c r="A78" s="872" t="s">
        <v>75</v>
      </c>
      <c r="B78" s="1058" t="s">
        <v>76</v>
      </c>
      <c r="C78" s="83" t="s">
        <v>77</v>
      </c>
      <c r="D78" s="82" t="s">
        <v>171</v>
      </c>
      <c r="E78" s="85">
        <f>ACT!K76</f>
        <v>24.14</v>
      </c>
      <c r="F78" s="85">
        <f>ACT!L76</f>
        <v>28.939</v>
      </c>
      <c r="G78" s="106"/>
      <c r="H78" s="107"/>
    </row>
    <row r="79" spans="1:11">
      <c r="A79" s="873"/>
      <c r="B79" s="1059"/>
      <c r="C79" s="83" t="s">
        <v>78</v>
      </c>
      <c r="D79" s="82" t="s">
        <v>132</v>
      </c>
      <c r="E79" s="85">
        <f>ACT!K77</f>
        <v>13</v>
      </c>
      <c r="F79" s="85">
        <f>ACT!L77</f>
        <v>7.44</v>
      </c>
      <c r="G79" s="106"/>
      <c r="H79" s="107"/>
    </row>
    <row r="80" spans="1:11">
      <c r="A80" s="873"/>
      <c r="B80" s="1059"/>
      <c r="C80" s="83" t="s">
        <v>134</v>
      </c>
      <c r="D80" s="82" t="s">
        <v>133</v>
      </c>
      <c r="E80" s="99">
        <f>'Gap data'!$B$42</f>
        <v>1881</v>
      </c>
      <c r="F80" s="99">
        <f>'Gap data'!$B$42</f>
        <v>1881</v>
      </c>
      <c r="G80" s="106"/>
      <c r="H80" s="107"/>
    </row>
    <row r="81" spans="1:14">
      <c r="A81" s="874"/>
      <c r="B81" s="1060"/>
      <c r="C81" s="83" t="s">
        <v>172</v>
      </c>
      <c r="D81" s="82" t="s">
        <v>135</v>
      </c>
      <c r="E81" s="85">
        <f>ACT!K79</f>
        <v>0</v>
      </c>
      <c r="F81" s="85">
        <f>ACT!L79</f>
        <v>0</v>
      </c>
      <c r="G81" s="106"/>
      <c r="H81" s="107"/>
    </row>
    <row r="82" spans="1:14">
      <c r="G82" s="109"/>
      <c r="H82" s="107"/>
    </row>
    <row r="83" spans="1:14" s="625" customFormat="1" ht="15.75">
      <c r="A83" s="625" t="s">
        <v>666</v>
      </c>
      <c r="D83" s="758"/>
      <c r="G83" s="759"/>
      <c r="H83" s="625" t="str">
        <f>A83</f>
        <v>Adjusted NSW data</v>
      </c>
      <c r="I83" s="758"/>
    </row>
    <row r="84" spans="1:14">
      <c r="G84" s="109"/>
    </row>
    <row r="85" spans="1:14">
      <c r="A85" s="872" t="s">
        <v>3</v>
      </c>
      <c r="B85" s="1058" t="s">
        <v>137</v>
      </c>
      <c r="C85" s="83" t="s">
        <v>4</v>
      </c>
      <c r="D85" s="82" t="s">
        <v>79</v>
      </c>
      <c r="E85" s="85">
        <f>IFERROR(IF(NSW!$C$3="Yes",NSW!K8,NSW!K8*(1-'Gap data'!$C57)),"")</f>
        <v>1.28</v>
      </c>
      <c r="F85" s="85" t="str">
        <f>IFERROR(IF(NSW!$C$3="Yes",NSW!L8,NSW!L8*(1-'Gap data'!$C57)),"")</f>
        <v/>
      </c>
      <c r="G85" s="84"/>
      <c r="H85" s="86" t="s">
        <v>324</v>
      </c>
      <c r="I85" s="87" t="s">
        <v>325</v>
      </c>
      <c r="J85" s="85">
        <f>E150</f>
        <v>10260.532436418187</v>
      </c>
      <c r="K85" s="85">
        <f>F150</f>
        <v>10260.532436418187</v>
      </c>
      <c r="M85" s="767">
        <f>IFERROR(NSW!K8-E85,0)</f>
        <v>0</v>
      </c>
      <c r="N85" s="767">
        <f>IFERROR(NSW!L8-F85,0)</f>
        <v>0</v>
      </c>
    </row>
    <row r="86" spans="1:14">
      <c r="A86" s="873"/>
      <c r="B86" s="1059"/>
      <c r="C86" s="83" t="s">
        <v>138</v>
      </c>
      <c r="D86" s="82" t="s">
        <v>139</v>
      </c>
      <c r="E86" s="85" t="str">
        <f>IFERROR(IF(NSW!$C$3="Yes",NSW!K9,NSW!K9*(1-'Gap data'!$C58)),"")</f>
        <v/>
      </c>
      <c r="F86" s="85" t="str">
        <f>IFERROR(IF(NSW!$C$3="Yes",NSW!L9,NSW!L9*(1-'Gap data'!$C58)),"")</f>
        <v/>
      </c>
      <c r="G86" s="84"/>
      <c r="H86" s="86" t="s">
        <v>326</v>
      </c>
      <c r="I86" s="87" t="s">
        <v>327</v>
      </c>
      <c r="J86" s="85">
        <f>E152</f>
        <v>93.256778228518002</v>
      </c>
      <c r="K86" s="85">
        <f>F152</f>
        <v>270.83573543114761</v>
      </c>
      <c r="M86" s="767">
        <f>IFERROR(NSW!K9-E86,0)</f>
        <v>0</v>
      </c>
      <c r="N86" s="767">
        <f>IFERROR(NSW!L9-F86,0)</f>
        <v>0</v>
      </c>
    </row>
    <row r="87" spans="1:14">
      <c r="A87" s="874"/>
      <c r="B87" s="1060"/>
      <c r="C87" s="83" t="s">
        <v>81</v>
      </c>
      <c r="D87" s="82" t="s">
        <v>80</v>
      </c>
      <c r="E87" s="85">
        <f>IFERROR(IF(NSW!$C$3="Yes",NSW!K10,NSW!K10*(1-'Gap data'!$C59)),"")</f>
        <v>0.33138671664885327</v>
      </c>
      <c r="F87" s="85">
        <f>IFERROR(IF(NSW!$C$3="Yes",NSW!L10,NSW!L10*(1-'Gap data'!$C59)),"")</f>
        <v>1.5141369297105856</v>
      </c>
      <c r="G87" s="84"/>
      <c r="H87" s="86" t="s">
        <v>328</v>
      </c>
      <c r="I87" s="87" t="s">
        <v>130</v>
      </c>
      <c r="J87" s="85">
        <f>E151</f>
        <v>790.09407971651012</v>
      </c>
      <c r="K87" s="85">
        <f>F151</f>
        <v>790.09407971651012</v>
      </c>
      <c r="M87" s="767">
        <f>IFERROR(NSW!K10-E87,0)</f>
        <v>5.1132833511466913E-3</v>
      </c>
      <c r="N87" s="767">
        <f>IFERROR(NSW!L10-F87,0)</f>
        <v>2.3363070289414534E-2</v>
      </c>
    </row>
    <row r="88" spans="1:14">
      <c r="A88" s="90" t="s">
        <v>5</v>
      </c>
      <c r="B88" s="187" t="s">
        <v>6</v>
      </c>
      <c r="C88" s="83" t="s">
        <v>7</v>
      </c>
      <c r="D88" s="82" t="s">
        <v>82</v>
      </c>
      <c r="E88" s="85">
        <f>IFERROR(IF(NSW!$C$3="Yes",NSW!K11,NSW!K11*(1-'Gap data'!$C60)),"")</f>
        <v>12925.458372846111</v>
      </c>
      <c r="F88" s="85">
        <f>IFERROR(IF(NSW!$C$3="Yes",NSW!L11,NSW!L11*(1-'Gap data'!$C60)),"")</f>
        <v>10127.02858024017</v>
      </c>
      <c r="G88" s="84"/>
      <c r="H88" s="86" t="s">
        <v>329</v>
      </c>
      <c r="I88" s="87" t="s">
        <v>330</v>
      </c>
      <c r="J88" s="85">
        <f>E121</f>
        <v>164.60109258349337</v>
      </c>
      <c r="K88" s="85">
        <f>F121</f>
        <v>111.10359499698866</v>
      </c>
      <c r="M88" s="767">
        <f>IFERROR(NSW!K11-E88,0)</f>
        <v>147.80216715388087</v>
      </c>
      <c r="N88" s="767">
        <f>IFERROR(NSW!L11-F88,0)</f>
        <v>115.80221975982386</v>
      </c>
    </row>
    <row r="89" spans="1:14">
      <c r="A89" s="90" t="s">
        <v>8</v>
      </c>
      <c r="B89" s="187" t="s">
        <v>140</v>
      </c>
      <c r="C89" s="83" t="s">
        <v>9</v>
      </c>
      <c r="D89" s="82" t="s">
        <v>83</v>
      </c>
      <c r="E89" s="85">
        <f>IFERROR(IF(NSW!$C$3="Yes",NSW!K12,NSW!K12*(1-'Gap data'!$C61)),"")</f>
        <v>2923.0334023122587</v>
      </c>
      <c r="F89" s="85">
        <f>IFERROR(IF(NSW!$C$3="Yes",NSW!L12,NSW!L12*(1-'Gap data'!$C61)),"")</f>
        <v>2029.5365403600063</v>
      </c>
      <c r="G89" s="84"/>
      <c r="H89" s="86" t="s">
        <v>331</v>
      </c>
      <c r="I89" s="87" t="s">
        <v>332</v>
      </c>
      <c r="J89" s="85">
        <f>E123</f>
        <v>16.36</v>
      </c>
      <c r="K89" s="85">
        <f>F123</f>
        <v>20.475000000000001</v>
      </c>
      <c r="M89" s="767">
        <f>IFERROR(NSW!K12-E89,0)</f>
        <v>4.1780976877403191</v>
      </c>
      <c r="N89" s="767">
        <f>IFERROR(NSW!L12-F89,0)</f>
        <v>2.9009596399941984</v>
      </c>
    </row>
    <row r="90" spans="1:14">
      <c r="A90" s="872" t="s">
        <v>10</v>
      </c>
      <c r="B90" s="1058" t="s">
        <v>11</v>
      </c>
      <c r="C90" s="83" t="s">
        <v>12</v>
      </c>
      <c r="D90" s="82" t="s">
        <v>84</v>
      </c>
      <c r="E90" s="85" t="str">
        <f>IFERROR(IF(NSW!$C$3="Yes",NSW!K13,NSW!K13*(1-'Gap data'!$C62)),"")</f>
        <v/>
      </c>
      <c r="F90" s="85" t="str">
        <f>IFERROR(IF(NSW!$C$3="Yes",NSW!L13,NSW!L13*(1-'Gap data'!$C62)),"")</f>
        <v/>
      </c>
      <c r="G90" s="84"/>
      <c r="H90" s="86" t="s">
        <v>333</v>
      </c>
      <c r="I90" s="87" t="s">
        <v>334</v>
      </c>
      <c r="J90" s="85">
        <f>E120</f>
        <v>224.38523765445066</v>
      </c>
      <c r="K90" s="85">
        <f>F120</f>
        <v>249.50610159463741</v>
      </c>
      <c r="M90" s="767">
        <f>IFERROR(NSW!K13-E90,0)</f>
        <v>0</v>
      </c>
      <c r="N90" s="767">
        <f>IFERROR(NSW!L13-F90,0)</f>
        <v>0</v>
      </c>
    </row>
    <row r="91" spans="1:14">
      <c r="A91" s="873"/>
      <c r="B91" s="1059"/>
      <c r="C91" s="83" t="s">
        <v>13</v>
      </c>
      <c r="D91" s="82" t="s">
        <v>85</v>
      </c>
      <c r="E91" s="85">
        <f>IFERROR(IF(NSW!$C$3="Yes",NSW!K14,NSW!K14*(1-'Gap data'!$C63)),"")</f>
        <v>14340.277453502851</v>
      </c>
      <c r="F91" s="85">
        <f>IFERROR(IF(NSW!$C$3="Yes",NSW!L14,NSW!L14*(1-'Gap data'!$C63)),"")</f>
        <v>5703.809762976297</v>
      </c>
      <c r="G91" s="84"/>
      <c r="H91" s="86" t="s">
        <v>335</v>
      </c>
      <c r="I91" s="87" t="s">
        <v>336</v>
      </c>
      <c r="J91" s="85" t="str">
        <f>E86</f>
        <v/>
      </c>
      <c r="K91" s="85" t="str">
        <f>F86</f>
        <v/>
      </c>
      <c r="M91" s="767">
        <f>IFERROR(NSW!K14-E91,0)</f>
        <v>185.21859649714861</v>
      </c>
      <c r="N91" s="767">
        <f>IFERROR(NSW!L14-F91,0)</f>
        <v>73.670237023702612</v>
      </c>
    </row>
    <row r="92" spans="1:14">
      <c r="A92" s="873"/>
      <c r="B92" s="1059"/>
      <c r="C92" s="83" t="s">
        <v>14</v>
      </c>
      <c r="D92" s="82" t="s">
        <v>86</v>
      </c>
      <c r="E92" s="85">
        <f>IFERROR(IF(NSW!$C$3="Yes",NSW!K15,NSW!K15*(1-'Gap data'!$C64)),"")</f>
        <v>309.25309778443608</v>
      </c>
      <c r="F92" s="85">
        <f>IFERROR(IF(NSW!$C$3="Yes",NSW!L15,NSW!L15*(1-'Gap data'!$C64)),"")</f>
        <v>873.69565554303324</v>
      </c>
      <c r="G92" s="84"/>
      <c r="H92" s="86" t="s">
        <v>337</v>
      </c>
      <c r="I92" s="87" t="s">
        <v>322</v>
      </c>
      <c r="J92" s="85">
        <f t="shared" ref="J92:J93" si="8">E124</f>
        <v>8785.7695091315454</v>
      </c>
      <c r="K92" s="85">
        <f t="shared" ref="K92:K93" si="9">F124</f>
        <v>9275.6538442842866</v>
      </c>
      <c r="M92" s="767">
        <f>IFERROR(NSW!K15-E92,0)</f>
        <v>4.9840522155639064</v>
      </c>
      <c r="N92" s="767">
        <f>IFERROR(NSW!L15-F92,0)</f>
        <v>14.080844456966929</v>
      </c>
    </row>
    <row r="93" spans="1:14">
      <c r="A93" s="873"/>
      <c r="B93" s="1059"/>
      <c r="C93" s="83" t="s">
        <v>15</v>
      </c>
      <c r="D93" s="82" t="s">
        <v>87</v>
      </c>
      <c r="E93" s="85">
        <f>IFERROR(IF(NSW!$C$3="Yes",NSW!K16,NSW!K16*(1-'Gap data'!$C65)),"")</f>
        <v>95.473595502153117</v>
      </c>
      <c r="F93" s="85">
        <f>IFERROR(IF(NSW!$C$3="Yes",NSW!L16,NSW!L16*(1-'Gap data'!$C65)),"")</f>
        <v>50.990670500225775</v>
      </c>
      <c r="G93" s="84"/>
      <c r="H93" s="86" t="s">
        <v>338</v>
      </c>
      <c r="I93" s="87" t="s">
        <v>339</v>
      </c>
      <c r="J93" s="85">
        <f t="shared" si="8"/>
        <v>40332.977275869322</v>
      </c>
      <c r="K93" s="85">
        <f t="shared" si="9"/>
        <v>40049.09716171195</v>
      </c>
      <c r="M93" s="767">
        <f>IFERROR(NSW!K16-E93,0)</f>
        <v>1.840449784688758E-2</v>
      </c>
      <c r="N93" s="767">
        <f>IFERROR(NSW!L16-F93,0)</f>
        <v>9.8294997742272017E-3</v>
      </c>
    </row>
    <row r="94" spans="1:14">
      <c r="A94" s="873"/>
      <c r="B94" s="1059"/>
      <c r="C94" s="83" t="s">
        <v>16</v>
      </c>
      <c r="D94" s="82" t="s">
        <v>88</v>
      </c>
      <c r="E94" s="85">
        <f>IFERROR(IF(NSW!$C$3="Yes",NSW!K17,NSW!K17*(1-'Gap data'!$C66)),"")</f>
        <v>153.62263852664537</v>
      </c>
      <c r="F94" s="85">
        <f>IFERROR(IF(NSW!$C$3="Yes",NSW!L17,NSW!L17*(1-'Gap data'!$C66)),"")</f>
        <v>167.44067943565349</v>
      </c>
      <c r="G94" s="84"/>
      <c r="H94" s="86" t="s">
        <v>340</v>
      </c>
      <c r="I94" s="87" t="s">
        <v>341</v>
      </c>
      <c r="J94" s="85">
        <f>E131</f>
        <v>1410.4872423789261</v>
      </c>
      <c r="K94" s="85">
        <f>F131</f>
        <v>1255.9890306207328</v>
      </c>
      <c r="M94" s="767">
        <f>IFERROR(NSW!K17-E94,0)</f>
        <v>0.14296147335463161</v>
      </c>
      <c r="N94" s="767">
        <f>IFERROR(NSW!L17-F94,0)</f>
        <v>0.15582056434652714</v>
      </c>
    </row>
    <row r="95" spans="1:14">
      <c r="A95" s="873"/>
      <c r="B95" s="1059"/>
      <c r="C95" s="83" t="s">
        <v>17</v>
      </c>
      <c r="D95" s="82" t="s">
        <v>89</v>
      </c>
      <c r="E95" s="85">
        <f>IFERROR(IF(NSW!$C$3="Yes",NSW!K18,NSW!K18*(1-'Gap data'!$C67)),"")</f>
        <v>2.7345819006806154</v>
      </c>
      <c r="F95" s="85">
        <f>IFERROR(IF(NSW!$C$3="Yes",NSW!L18,NSW!L18*(1-'Gap data'!$C67)),"")</f>
        <v>3.1802684648348873</v>
      </c>
      <c r="G95" s="84"/>
      <c r="H95" s="86" t="s">
        <v>342</v>
      </c>
      <c r="I95" s="87" t="s">
        <v>343</v>
      </c>
      <c r="J95" s="85">
        <f>E126</f>
        <v>1887.5091461241857</v>
      </c>
      <c r="K95" s="85">
        <f>F126</f>
        <v>1649.2332239751968</v>
      </c>
      <c r="M95" s="767">
        <f>IFERROR(NSW!K18-E95,0)</f>
        <v>6.2180993193847733E-3</v>
      </c>
      <c r="N95" s="767">
        <f>IFERROR(NSW!L18-F95,0)</f>
        <v>7.2315351651122128E-3</v>
      </c>
    </row>
    <row r="96" spans="1:14">
      <c r="A96" s="873"/>
      <c r="B96" s="1059"/>
      <c r="C96" s="83" t="s">
        <v>18</v>
      </c>
      <c r="D96" s="82" t="s">
        <v>90</v>
      </c>
      <c r="E96" s="85">
        <f>IFERROR(IF(NSW!$C$3="Yes",NSW!K19,NSW!K19*(1-'Gap data'!$C68)),"")</f>
        <v>2.5305593283121377E-4</v>
      </c>
      <c r="F96" s="85" t="str">
        <f>IFERROR(IF(NSW!$C$3="Yes",NSW!L19,NSW!L19*(1-'Gap data'!$C68)),"")</f>
        <v/>
      </c>
      <c r="G96" s="84"/>
      <c r="H96" s="86" t="s">
        <v>344</v>
      </c>
      <c r="I96" s="87" t="s">
        <v>345</v>
      </c>
      <c r="J96" s="85">
        <f t="shared" ref="J96:J97" si="10">E115</f>
        <v>4158.23954672115</v>
      </c>
      <c r="K96" s="85">
        <f t="shared" ref="K96:K97" si="11">F115</f>
        <v>4393.1273751378476</v>
      </c>
      <c r="M96" s="767">
        <f>IFERROR(NSW!K19-E96,0)</f>
        <v>2.4694406716878624E-4</v>
      </c>
      <c r="N96" s="767">
        <f>IFERROR(NSW!L19-F96,0)</f>
        <v>0</v>
      </c>
    </row>
    <row r="97" spans="1:14">
      <c r="A97" s="873"/>
      <c r="B97" s="1059"/>
      <c r="C97" s="83" t="s">
        <v>19</v>
      </c>
      <c r="D97" s="82" t="s">
        <v>141</v>
      </c>
      <c r="E97" s="85" t="str">
        <f>IFERROR(IF(NSW!$C$3="Yes",NSW!K20,NSW!K20*(1-'Gap data'!$C69)),"")</f>
        <v/>
      </c>
      <c r="F97" s="85" t="str">
        <f>IFERROR(IF(NSW!$C$3="Yes",NSW!L20,NSW!L20*(1-'Gap data'!$C69)),"")</f>
        <v/>
      </c>
      <c r="G97" s="84"/>
      <c r="H97" s="86" t="s">
        <v>346</v>
      </c>
      <c r="I97" s="87" t="s">
        <v>347</v>
      </c>
      <c r="J97" s="85">
        <f t="shared" si="10"/>
        <v>880.26890167063721</v>
      </c>
      <c r="K97" s="85">
        <f t="shared" si="11"/>
        <v>1123.1711762748675</v>
      </c>
      <c r="M97" s="767">
        <f>IFERROR(NSW!K20-E97,0)</f>
        <v>0</v>
      </c>
      <c r="N97" s="767">
        <f>IFERROR(NSW!L20-F97,0)</f>
        <v>0</v>
      </c>
    </row>
    <row r="98" spans="1:14">
      <c r="A98" s="873"/>
      <c r="B98" s="1059"/>
      <c r="C98" s="83" t="s">
        <v>142</v>
      </c>
      <c r="D98" s="82" t="s">
        <v>143</v>
      </c>
      <c r="E98" s="85" t="str">
        <f>IFERROR(IF(NSW!$C$3="Yes",NSW!K21,NSW!K21*(1-'Gap data'!$C70)),"")</f>
        <v/>
      </c>
      <c r="F98" s="85" t="str">
        <f>IFERROR(IF(NSW!$C$3="Yes",NSW!L21,NSW!L21*(1-'Gap data'!$C70)),"")</f>
        <v/>
      </c>
      <c r="G98" s="84"/>
      <c r="H98" s="86" t="s">
        <v>348</v>
      </c>
      <c r="I98" s="87" t="s">
        <v>349</v>
      </c>
      <c r="J98" s="85">
        <f>E153</f>
        <v>839.73686004190597</v>
      </c>
      <c r="K98" s="85">
        <f>F153</f>
        <v>1389.3217700984733</v>
      </c>
      <c r="M98" s="767">
        <f>IFERROR(NSW!K21-E98,0)</f>
        <v>0</v>
      </c>
      <c r="N98" s="767">
        <f>IFERROR(NSW!L21-F98,0)</f>
        <v>0</v>
      </c>
    </row>
    <row r="99" spans="1:14">
      <c r="A99" s="873"/>
      <c r="B99" s="1059"/>
      <c r="C99" s="83" t="s">
        <v>20</v>
      </c>
      <c r="D99" s="82" t="s">
        <v>91</v>
      </c>
      <c r="E99" s="85">
        <f>IFERROR(IF(NSW!$C$3="Yes",NSW!K22,NSW!K22*(1-'Gap data'!$C71)),"")</f>
        <v>7.6636022097344485</v>
      </c>
      <c r="F99" s="85">
        <f>IFERROR(IF(NSW!$C$3="Yes",NSW!L22,NSW!L22*(1-'Gap data'!$C71)),"")</f>
        <v>4.5664897413389994E-4</v>
      </c>
      <c r="G99" s="84"/>
      <c r="H99" s="86" t="s">
        <v>350</v>
      </c>
      <c r="I99" s="87" t="s">
        <v>351</v>
      </c>
      <c r="J99" s="85" t="str">
        <f>IFERROR(E156+E111+E112+E114,"")</f>
        <v/>
      </c>
      <c r="K99" s="85" t="str">
        <f>IFERROR(F156+F111+F112+F114,"")</f>
        <v/>
      </c>
      <c r="M99" s="767">
        <f>IFERROR(NSW!K22-E99,0)</f>
        <v>5.6237790265551979E-2</v>
      </c>
      <c r="N99" s="767">
        <f>IFERROR(NSW!L22-F99,0)</f>
        <v>3.3510258661000763E-6</v>
      </c>
    </row>
    <row r="100" spans="1:14">
      <c r="A100" s="873"/>
      <c r="B100" s="1059"/>
      <c r="C100" s="83" t="s">
        <v>21</v>
      </c>
      <c r="D100" s="82" t="s">
        <v>144</v>
      </c>
      <c r="E100" s="85">
        <f>IFERROR(IF(NSW!$C$3="Yes",NSW!K23,NSW!K23*(1-'Gap data'!$C72)),"")</f>
        <v>5.0599999999999987</v>
      </c>
      <c r="F100" s="85" t="str">
        <f>IFERROR(IF(NSW!$C$3="Yes",NSW!L23,NSW!L23*(1-'Gap data'!$C72)),"")</f>
        <v/>
      </c>
      <c r="G100" s="84"/>
      <c r="H100" s="86" t="s">
        <v>352</v>
      </c>
      <c r="I100" s="87" t="s">
        <v>353</v>
      </c>
      <c r="J100" s="85">
        <f>E154</f>
        <v>76.009015097308662</v>
      </c>
      <c r="K100" s="85">
        <f>F154</f>
        <v>96.176534571621033</v>
      </c>
      <c r="M100" s="767">
        <f>IFERROR(NSW!K23-E100,0)</f>
        <v>5.0600000000000005</v>
      </c>
      <c r="N100" s="767">
        <f>IFERROR(NSW!L23-F100,0)</f>
        <v>0</v>
      </c>
    </row>
    <row r="101" spans="1:14">
      <c r="A101" s="873"/>
      <c r="B101" s="1059"/>
      <c r="C101" s="83" t="s">
        <v>22</v>
      </c>
      <c r="D101" s="82" t="s">
        <v>92</v>
      </c>
      <c r="E101" s="85">
        <f>IFERROR(IF(NSW!$C$3="Yes",NSW!K24,NSW!K24*(1-'Gap data'!$C73)),"")</f>
        <v>15.384843753754136</v>
      </c>
      <c r="F101" s="85">
        <f>IFERROR(IF(NSW!$C$3="Yes",NSW!L24,NSW!L24*(1-'Gap data'!$C73)),"")</f>
        <v>1.3535229086856106</v>
      </c>
      <c r="G101" s="84"/>
      <c r="H101" s="86" t="s">
        <v>354</v>
      </c>
      <c r="I101" s="87" t="s">
        <v>355</v>
      </c>
      <c r="J101" s="85">
        <f>E85</f>
        <v>1.28</v>
      </c>
      <c r="K101" s="85" t="str">
        <f>F85</f>
        <v/>
      </c>
      <c r="M101" s="767">
        <f>IFERROR(NSW!K24-E101,0)</f>
        <v>1.284156246245864</v>
      </c>
      <c r="N101" s="767">
        <f>IFERROR(NSW!L24-F101,0)</f>
        <v>0.11297709131438949</v>
      </c>
    </row>
    <row r="102" spans="1:14">
      <c r="A102" s="873"/>
      <c r="B102" s="1059"/>
      <c r="C102" s="83" t="s">
        <v>23</v>
      </c>
      <c r="D102" s="82" t="s">
        <v>93</v>
      </c>
      <c r="E102" s="85">
        <f>IFERROR(IF(NSW!$C$3="Yes",NSW!K25,NSW!K25*(1-'Gap data'!$C74)),"")</f>
        <v>32310.500730513071</v>
      </c>
      <c r="F102" s="85">
        <f>IFERROR(IF(NSW!$C$3="Yes",NSW!L25,NSW!L25*(1-'Gap data'!$C74)),"")</f>
        <v>34845.888512370533</v>
      </c>
      <c r="G102" s="84"/>
      <c r="H102" s="86" t="s">
        <v>356</v>
      </c>
      <c r="I102" s="87" t="s">
        <v>357</v>
      </c>
      <c r="J102" s="85" t="str">
        <f>IFERROR(E147+E144+E145+E149,"")</f>
        <v/>
      </c>
      <c r="K102" s="85" t="str">
        <f>IFERROR(F147+F144+F145+F149,"")</f>
        <v/>
      </c>
      <c r="M102" s="767">
        <f>IFERROR(NSW!K25-E102,0)</f>
        <v>138.51016848692234</v>
      </c>
      <c r="N102" s="767">
        <f>IFERROR(NSW!L25-F102,0)</f>
        <v>149.37898762946134</v>
      </c>
    </row>
    <row r="103" spans="1:14">
      <c r="A103" s="873"/>
      <c r="B103" s="1059"/>
      <c r="C103" s="83" t="s">
        <v>24</v>
      </c>
      <c r="D103" s="82" t="s">
        <v>94</v>
      </c>
      <c r="E103" s="85">
        <f>IFERROR(IF(NSW!$C$3="Yes",NSW!K26,NSW!K26*(1-'Gap data'!$C75)),"")</f>
        <v>522.82799999999997</v>
      </c>
      <c r="F103" s="85">
        <f>IFERROR(IF(NSW!$C$3="Yes",NSW!L26,NSW!L26*(1-'Gap data'!$C75)),"")</f>
        <v>159.50200000000001</v>
      </c>
      <c r="G103" s="760" t="s">
        <v>425</v>
      </c>
      <c r="H103" s="93"/>
      <c r="I103" s="94" t="s">
        <v>407</v>
      </c>
      <c r="J103" s="95"/>
      <c r="K103" s="96"/>
      <c r="M103" s="767">
        <f>IFERROR(NSW!K26-E103,0)</f>
        <v>0</v>
      </c>
      <c r="N103" s="767">
        <f>IFERROR(NSW!L26-F103,0)</f>
        <v>0</v>
      </c>
    </row>
    <row r="104" spans="1:14">
      <c r="A104" s="873"/>
      <c r="B104" s="1059"/>
      <c r="C104" s="83" t="s">
        <v>25</v>
      </c>
      <c r="D104" s="82" t="s">
        <v>145</v>
      </c>
      <c r="E104" s="85" t="str">
        <f>IFERROR(IF(NSW!$C$3="Yes",NSW!K27,NSW!K27*(1-'Gap data'!$C76)),"")</f>
        <v/>
      </c>
      <c r="F104" s="85" t="str">
        <f>IFERROR(IF(NSW!$C$3="Yes",NSW!L27,NSW!L27*(1-'Gap data'!$C76)),"")</f>
        <v/>
      </c>
      <c r="G104" s="84"/>
      <c r="H104" s="86" t="s">
        <v>358</v>
      </c>
      <c r="I104" s="87" t="s">
        <v>84</v>
      </c>
      <c r="J104" s="85" t="str">
        <f>E90</f>
        <v/>
      </c>
      <c r="K104" s="85" t="str">
        <f>F90</f>
        <v/>
      </c>
      <c r="M104" s="767">
        <f>IFERROR(NSW!K27-E104,0)</f>
        <v>0</v>
      </c>
      <c r="N104" s="767">
        <f>IFERROR(NSW!L27-F104,0)</f>
        <v>0</v>
      </c>
    </row>
    <row r="105" spans="1:14">
      <c r="A105" s="873"/>
      <c r="B105" s="1059"/>
      <c r="C105" s="83" t="s">
        <v>146</v>
      </c>
      <c r="D105" s="82" t="s">
        <v>147</v>
      </c>
      <c r="E105" s="85" t="str">
        <f>IFERROR(IF(NSW!$C$3="Yes",NSW!K28,NSW!K28*(1-'Gap data'!$C77)),"")</f>
        <v/>
      </c>
      <c r="F105" s="85" t="str">
        <f>IFERROR(IF(NSW!$C$3="Yes",NSW!L28,NSW!L28*(1-'Gap data'!$C77)),"")</f>
        <v/>
      </c>
      <c r="G105" s="84"/>
      <c r="H105" s="86" t="s">
        <v>359</v>
      </c>
      <c r="I105" s="87" t="s">
        <v>90</v>
      </c>
      <c r="J105" s="85">
        <f>E96</f>
        <v>2.5305593283121377E-4</v>
      </c>
      <c r="K105" s="85" t="str">
        <f>F96</f>
        <v/>
      </c>
      <c r="M105" s="767">
        <f>IFERROR(NSW!K28-E105,0)</f>
        <v>0</v>
      </c>
      <c r="N105" s="767">
        <f>IFERROR(NSW!L28-F105,0)</f>
        <v>0</v>
      </c>
    </row>
    <row r="106" spans="1:14">
      <c r="A106" s="873"/>
      <c r="B106" s="1059"/>
      <c r="C106" s="83" t="s">
        <v>148</v>
      </c>
      <c r="D106" s="82" t="s">
        <v>149</v>
      </c>
      <c r="E106" s="85" t="str">
        <f>IFERROR(IF(NSW!$C$3="Yes",NSW!K29,NSW!K29*(1-'Gap data'!$C78)),"")</f>
        <v/>
      </c>
      <c r="F106" s="85" t="str">
        <f>IFERROR(IF(NSW!$C$3="Yes",NSW!L29,NSW!L29*(1-'Gap data'!$C78)),"")</f>
        <v/>
      </c>
      <c r="G106" s="84"/>
      <c r="H106" s="86" t="s">
        <v>360</v>
      </c>
      <c r="I106" s="87" t="s">
        <v>361</v>
      </c>
      <c r="J106" s="85">
        <f>E94</f>
        <v>153.62263852664537</v>
      </c>
      <c r="K106" s="85">
        <f>F94</f>
        <v>167.44067943565349</v>
      </c>
      <c r="M106" s="767">
        <f>IFERROR(NSW!K29-E106,0)</f>
        <v>0</v>
      </c>
      <c r="N106" s="767">
        <f>IFERROR(NSW!L29-F106,0)</f>
        <v>0</v>
      </c>
    </row>
    <row r="107" spans="1:14">
      <c r="A107" s="873"/>
      <c r="B107" s="1059"/>
      <c r="C107" s="83" t="s">
        <v>26</v>
      </c>
      <c r="D107" s="82" t="s">
        <v>150</v>
      </c>
      <c r="E107" s="85" t="str">
        <f>IFERROR(IF(NSW!$C$3="Yes",NSW!K30,NSW!K30*(1-'Gap data'!$C79)),"")</f>
        <v/>
      </c>
      <c r="F107" s="85" t="str">
        <f>IFERROR(IF(NSW!$C$3="Yes",NSW!L30,NSW!L30*(1-'Gap data'!$C79)),"")</f>
        <v/>
      </c>
      <c r="G107" s="84"/>
      <c r="H107" s="86" t="s">
        <v>362</v>
      </c>
      <c r="I107" s="87" t="s">
        <v>91</v>
      </c>
      <c r="J107" s="85">
        <f>E99</f>
        <v>7.6636022097344485</v>
      </c>
      <c r="K107" s="85">
        <f>F99</f>
        <v>4.5664897413389994E-4</v>
      </c>
      <c r="M107" s="767">
        <f>IFERROR(NSW!K30-E107,0)</f>
        <v>0</v>
      </c>
      <c r="N107" s="767">
        <f>IFERROR(NSW!L30-F107,0)</f>
        <v>0</v>
      </c>
    </row>
    <row r="108" spans="1:14">
      <c r="A108" s="873"/>
      <c r="B108" s="1059"/>
      <c r="C108" s="83" t="s">
        <v>27</v>
      </c>
      <c r="D108" s="82" t="s">
        <v>95</v>
      </c>
      <c r="E108" s="85">
        <f>IFERROR(IF(NSW!$C$3="Yes",NSW!K31,NSW!K31*(1-'Gap data'!$C80)),"")</f>
        <v>18181.833618520213</v>
      </c>
      <c r="F108" s="85">
        <f>IFERROR(IF(NSW!$C$3="Yes",NSW!L31,NSW!L31*(1-'Gap data'!$C80)),"")</f>
        <v>19248.109032487766</v>
      </c>
      <c r="G108" s="84"/>
      <c r="H108" s="86" t="s">
        <v>363</v>
      </c>
      <c r="I108" s="87" t="s">
        <v>94</v>
      </c>
      <c r="J108" s="85">
        <f>E103</f>
        <v>522.82799999999997</v>
      </c>
      <c r="K108" s="85">
        <f>F103</f>
        <v>159.50200000000001</v>
      </c>
      <c r="M108" s="767">
        <f>IFERROR(NSW!K31-E108,0)</f>
        <v>21.197441479787813</v>
      </c>
      <c r="N108" s="767">
        <f>IFERROR(NSW!L31-F108,0)</f>
        <v>22.440567512239795</v>
      </c>
    </row>
    <row r="109" spans="1:14">
      <c r="A109" s="873"/>
      <c r="B109" s="1059"/>
      <c r="C109" s="83" t="s">
        <v>28</v>
      </c>
      <c r="D109" s="82" t="s">
        <v>96</v>
      </c>
      <c r="E109" s="85" t="str">
        <f>IFERROR(IF(NSW!$C$3="Yes",NSW!K32,NSW!K32*(1-'Gap data'!$C81)),"")</f>
        <v/>
      </c>
      <c r="F109" s="85" t="str">
        <f>IFERROR(IF(NSW!$C$3="Yes",NSW!L32,NSW!L32*(1-'Gap data'!$C81)),"")</f>
        <v/>
      </c>
      <c r="G109" s="84"/>
      <c r="H109" s="86" t="s">
        <v>364</v>
      </c>
      <c r="I109" s="87" t="s">
        <v>87</v>
      </c>
      <c r="J109" s="85">
        <f>E93</f>
        <v>95.473595502153117</v>
      </c>
      <c r="K109" s="85">
        <f>F93</f>
        <v>50.990670500225775</v>
      </c>
      <c r="M109" s="767">
        <f>IFERROR(NSW!K32-E109,0)</f>
        <v>0</v>
      </c>
      <c r="N109" s="767">
        <f>IFERROR(NSW!L32-F109,0)</f>
        <v>0</v>
      </c>
    </row>
    <row r="110" spans="1:14">
      <c r="A110" s="873"/>
      <c r="B110" s="1059"/>
      <c r="C110" s="83" t="s">
        <v>29</v>
      </c>
      <c r="D110" s="82" t="s">
        <v>97</v>
      </c>
      <c r="E110" s="85" t="str">
        <f>IFERROR(IF(NSW!$C$3="Yes",NSW!K33,NSW!K33*(1-'Gap data'!$C82)),"")</f>
        <v/>
      </c>
      <c r="F110" s="85" t="str">
        <f>IFERROR(IF(NSW!$C$3="Yes",NSW!L33,NSW!L33*(1-'Gap data'!$C82)),"")</f>
        <v/>
      </c>
      <c r="G110" s="84"/>
      <c r="H110" s="86" t="s">
        <v>365</v>
      </c>
      <c r="I110" s="87" t="s">
        <v>145</v>
      </c>
      <c r="J110" s="85" t="str">
        <f>E104</f>
        <v/>
      </c>
      <c r="K110" s="85" t="str">
        <f>F104</f>
        <v/>
      </c>
      <c r="M110" s="767">
        <f>IFERROR(NSW!K33-E110,0)</f>
        <v>0</v>
      </c>
      <c r="N110" s="767">
        <f>IFERROR(NSW!L33-F110,0)</f>
        <v>0</v>
      </c>
    </row>
    <row r="111" spans="1:14">
      <c r="A111" s="873"/>
      <c r="B111" s="1059"/>
      <c r="C111" s="83" t="s">
        <v>99</v>
      </c>
      <c r="D111" s="82" t="s">
        <v>98</v>
      </c>
      <c r="E111" s="85" t="str">
        <f>IFERROR(IF(NSW!$C$3="Yes",NSW!K34,NSW!K34*(1-'Gap data'!$C83)),"")</f>
        <v/>
      </c>
      <c r="F111" s="85" t="str">
        <f>IFERROR(IF(NSW!$C$3="Yes",NSW!L34,NSW!L34*(1-'Gap data'!$C83)),"")</f>
        <v/>
      </c>
      <c r="G111" s="84"/>
      <c r="H111" s="86" t="s">
        <v>366</v>
      </c>
      <c r="I111" s="87" t="s">
        <v>89</v>
      </c>
      <c r="J111" s="85">
        <f>E95</f>
        <v>2.7345819006806154</v>
      </c>
      <c r="K111" s="85">
        <f>F95</f>
        <v>3.1802684648348873</v>
      </c>
      <c r="M111" s="767">
        <f>IFERROR(NSW!K34-E111,0)</f>
        <v>0</v>
      </c>
      <c r="N111" s="767">
        <f>IFERROR(NSW!L34-F111,0)</f>
        <v>0</v>
      </c>
    </row>
    <row r="112" spans="1:14">
      <c r="A112" s="873"/>
      <c r="B112" s="1059"/>
      <c r="C112" s="83" t="s">
        <v>101</v>
      </c>
      <c r="D112" s="82" t="s">
        <v>100</v>
      </c>
      <c r="E112" s="85" t="str">
        <f>IFERROR(IF(NSW!$C$3="Yes",NSW!K35,NSW!K35*(1-'Gap data'!$C84)),"")</f>
        <v/>
      </c>
      <c r="F112" s="85" t="str">
        <f>IFERROR(IF(NSW!$C$3="Yes",NSW!L35,NSW!L35*(1-'Gap data'!$C84)),"")</f>
        <v/>
      </c>
      <c r="G112" s="84"/>
      <c r="H112" s="86" t="s">
        <v>367</v>
      </c>
      <c r="I112" s="87" t="s">
        <v>141</v>
      </c>
      <c r="J112" s="85" t="str">
        <f>E97</f>
        <v/>
      </c>
      <c r="K112" s="85" t="str">
        <f>F97</f>
        <v/>
      </c>
      <c r="M112" s="767">
        <f>IFERROR(NSW!K35-E112,0)</f>
        <v>0</v>
      </c>
      <c r="N112" s="767">
        <f>IFERROR(NSW!L35-F112,0)</f>
        <v>0</v>
      </c>
    </row>
    <row r="113" spans="1:14">
      <c r="A113" s="874"/>
      <c r="B113" s="1060"/>
      <c r="C113" s="83" t="s">
        <v>30</v>
      </c>
      <c r="D113" s="82" t="s">
        <v>151</v>
      </c>
      <c r="E113" s="85" t="str">
        <f>IFERROR(IF(NSW!$C$3="Yes",NSW!K36,NSW!K36*(1-'Gap data'!$C85)),"")</f>
        <v/>
      </c>
      <c r="F113" s="85" t="str">
        <f>IFERROR(IF(NSW!$C$3="Yes",NSW!L36,NSW!L36*(1-'Gap data'!$C85)),"")</f>
        <v/>
      </c>
      <c r="G113" s="84"/>
      <c r="H113" s="86" t="s">
        <v>368</v>
      </c>
      <c r="I113" s="87" t="s">
        <v>147</v>
      </c>
      <c r="J113" s="85" t="str">
        <f>E105</f>
        <v/>
      </c>
      <c r="K113" s="85" t="str">
        <f>F105</f>
        <v/>
      </c>
      <c r="M113" s="767">
        <f>IFERROR(NSW!K36-E113,0)</f>
        <v>0</v>
      </c>
      <c r="N113" s="767">
        <f>IFERROR(NSW!L36-F113,0)</f>
        <v>0</v>
      </c>
    </row>
    <row r="114" spans="1:14">
      <c r="A114" s="90" t="s">
        <v>31</v>
      </c>
      <c r="B114" s="761" t="s">
        <v>32</v>
      </c>
      <c r="C114" s="83" t="s">
        <v>33</v>
      </c>
      <c r="D114" s="82" t="s">
        <v>102</v>
      </c>
      <c r="E114" s="85">
        <f>IFERROR(IF(NSW!$C$3="Yes",NSW!K37,NSW!K37*(1-'Gap data'!$C86)),"")</f>
        <v>27.284541640971245</v>
      </c>
      <c r="F114" s="85">
        <f>IFERROR(IF(NSW!$C$3="Yes",NSW!L37,NSW!L37*(1-'Gap data'!$C86)),"")</f>
        <v>32.768078788327287</v>
      </c>
      <c r="G114" s="84"/>
      <c r="H114" s="86" t="s">
        <v>369</v>
      </c>
      <c r="I114" s="87" t="s">
        <v>86</v>
      </c>
      <c r="J114" s="85">
        <f>E92</f>
        <v>309.25309778443608</v>
      </c>
      <c r="K114" s="85">
        <f>F92</f>
        <v>873.69565554303324</v>
      </c>
      <c r="M114" s="767">
        <f>IFERROR(NSW!K37-E114,0)</f>
        <v>0.68770835902875405</v>
      </c>
      <c r="N114" s="767">
        <f>IFERROR(NSW!L37-F114,0)</f>
        <v>0.82592121167270705</v>
      </c>
    </row>
    <row r="115" spans="1:14" ht="12.75" customHeight="1">
      <c r="A115" s="872" t="s">
        <v>34</v>
      </c>
      <c r="B115" s="1058" t="s">
        <v>152</v>
      </c>
      <c r="C115" s="83" t="s">
        <v>35</v>
      </c>
      <c r="D115" s="82" t="s">
        <v>103</v>
      </c>
      <c r="E115" s="85">
        <f>IFERROR(IF(NSW!$C$3="Yes",NSW!K38,NSW!K38*(1-'Gap data'!$C87)),"")</f>
        <v>4158.23954672115</v>
      </c>
      <c r="F115" s="85">
        <f>IFERROR(IF(NSW!$C$3="Yes",NSW!L38,NSW!L38*(1-'Gap data'!$C87)),"")</f>
        <v>4393.1273751378476</v>
      </c>
      <c r="G115" s="84"/>
      <c r="H115" s="86" t="s">
        <v>370</v>
      </c>
      <c r="I115" s="87" t="s">
        <v>143</v>
      </c>
      <c r="J115" s="85" t="str">
        <f>E98</f>
        <v/>
      </c>
      <c r="K115" s="85" t="str">
        <f>F98</f>
        <v/>
      </c>
      <c r="M115" s="767">
        <f>IFERROR(NSW!K38-E115,0)</f>
        <v>2008.7124982788519</v>
      </c>
      <c r="N115" s="767">
        <f>IFERROR(NSW!L38-F115,0)</f>
        <v>2122.179293862152</v>
      </c>
    </row>
    <row r="116" spans="1:14">
      <c r="A116" s="874"/>
      <c r="B116" s="1060"/>
      <c r="C116" s="83" t="s">
        <v>105</v>
      </c>
      <c r="D116" s="82" t="s">
        <v>104</v>
      </c>
      <c r="E116" s="85">
        <f>IFERROR(IF(NSW!$C$3="Yes",NSW!K39,NSW!K39*(1-'Gap data'!$C88)),"")</f>
        <v>880.26890167063721</v>
      </c>
      <c r="F116" s="85">
        <f>IFERROR(IF(NSW!$C$3="Yes",NSW!L39,NSW!L39*(1-'Gap data'!$C88)),"")</f>
        <v>1123.1711762748675</v>
      </c>
      <c r="G116" s="84"/>
      <c r="H116" s="86" t="s">
        <v>371</v>
      </c>
      <c r="I116" s="87" t="s">
        <v>93</v>
      </c>
      <c r="J116" s="85">
        <f>E102</f>
        <v>32310.500730513071</v>
      </c>
      <c r="K116" s="85">
        <f>F102</f>
        <v>34845.888512370533</v>
      </c>
      <c r="M116" s="767">
        <f>IFERROR(NSW!K39-E116,0)</f>
        <v>17.050429329362828</v>
      </c>
      <c r="N116" s="767">
        <f>IFERROR(NSW!L39-F116,0)</f>
        <v>21.755341725132666</v>
      </c>
    </row>
    <row r="117" spans="1:14">
      <c r="A117" s="872" t="s">
        <v>37</v>
      </c>
      <c r="B117" s="1058" t="s">
        <v>153</v>
      </c>
      <c r="C117" s="83" t="s">
        <v>38</v>
      </c>
      <c r="D117" s="82" t="s">
        <v>106</v>
      </c>
      <c r="E117" s="85" t="str">
        <f>IFERROR(IF(NSW!$C$3="Yes",NSW!K40,NSW!K40*(1-'Gap data'!$C89)),"")</f>
        <v/>
      </c>
      <c r="F117" s="85" t="str">
        <f>IFERROR(IF(NSW!$C$3="Yes",NSW!L40,NSW!L40*(1-'Gap data'!$C89)),"")</f>
        <v/>
      </c>
      <c r="G117" s="84"/>
      <c r="H117" s="86" t="s">
        <v>372</v>
      </c>
      <c r="I117" s="87" t="s">
        <v>85</v>
      </c>
      <c r="J117" s="85">
        <f>E91</f>
        <v>14340.277453502851</v>
      </c>
      <c r="K117" s="85">
        <f>F91</f>
        <v>5703.809762976297</v>
      </c>
      <c r="M117" s="767">
        <f>IFERROR(NSW!K40-E117,0)</f>
        <v>0</v>
      </c>
      <c r="N117" s="767">
        <f>IFERROR(NSW!L40-F117,0)</f>
        <v>0</v>
      </c>
    </row>
    <row r="118" spans="1:14">
      <c r="A118" s="873"/>
      <c r="B118" s="1059"/>
      <c r="C118" s="83" t="s">
        <v>39</v>
      </c>
      <c r="D118" s="82" t="s">
        <v>107</v>
      </c>
      <c r="E118" s="85">
        <f>IFERROR(IF(NSW!$C$3="Yes",NSW!K41,NSW!K41*(1-'Gap data'!$C90)),"")</f>
        <v>3057.7599112255803</v>
      </c>
      <c r="F118" s="85">
        <f>IFERROR(IF(NSW!$C$3="Yes",NSW!L41,NSW!L41*(1-'Gap data'!$C90)),"")</f>
        <v>1117.9078923446214</v>
      </c>
      <c r="G118" s="84"/>
      <c r="H118" s="86" t="s">
        <v>373</v>
      </c>
      <c r="I118" s="87" t="s">
        <v>374</v>
      </c>
      <c r="J118" s="85">
        <f t="shared" ref="J118:J120" si="12">E87</f>
        <v>0.33138671664885327</v>
      </c>
      <c r="K118" s="85">
        <f t="shared" ref="K118:K120" si="13">F87</f>
        <v>1.5141369297105856</v>
      </c>
      <c r="M118" s="767">
        <f>IFERROR(NSW!K41-E118,0)</f>
        <v>976.07369377441773</v>
      </c>
      <c r="N118" s="767">
        <f>IFERROR(NSW!L41-F118,0)</f>
        <v>356.84962765537762</v>
      </c>
    </row>
    <row r="119" spans="1:14">
      <c r="A119" s="873"/>
      <c r="B119" s="1059"/>
      <c r="C119" s="83" t="s">
        <v>40</v>
      </c>
      <c r="D119" s="82" t="s">
        <v>108</v>
      </c>
      <c r="E119" s="85">
        <f>IFERROR(IF(NSW!$C$3="Yes",NSW!K42,NSW!K42*(1-'Gap data'!$C91)),"")</f>
        <v>642.64251989340335</v>
      </c>
      <c r="F119" s="85">
        <f>IFERROR(IF(NSW!$C$3="Yes",NSW!L42,NSW!L42*(1-'Gap data'!$C91)),"")</f>
        <v>151.28917150439722</v>
      </c>
      <c r="G119" s="84"/>
      <c r="H119" s="86" t="s">
        <v>375</v>
      </c>
      <c r="I119" s="87" t="s">
        <v>82</v>
      </c>
      <c r="J119" s="85">
        <f t="shared" si="12"/>
        <v>12925.458372846111</v>
      </c>
      <c r="K119" s="85">
        <f t="shared" si="13"/>
        <v>10127.02858024017</v>
      </c>
      <c r="M119" s="767">
        <f>IFERROR(NSW!K42-E119,0)</f>
        <v>27.081180106596662</v>
      </c>
      <c r="N119" s="767">
        <f>IFERROR(NSW!L42-F119,0)</f>
        <v>6.3753784956027744</v>
      </c>
    </row>
    <row r="120" spans="1:14">
      <c r="A120" s="874"/>
      <c r="B120" s="1060"/>
      <c r="C120" s="83" t="s">
        <v>41</v>
      </c>
      <c r="D120" s="82" t="s">
        <v>109</v>
      </c>
      <c r="E120" s="85">
        <f>IFERROR(IF(NSW!$C$3="Yes",NSW!K43,NSW!K43*(1-'Gap data'!$C92)),"")</f>
        <v>224.38523765445066</v>
      </c>
      <c r="F120" s="85">
        <f>IFERROR(IF(NSW!$C$3="Yes",NSW!L43,NSW!L43*(1-'Gap data'!$C92)),"")</f>
        <v>249.50610159463741</v>
      </c>
      <c r="G120" s="84"/>
      <c r="H120" s="86" t="s">
        <v>376</v>
      </c>
      <c r="I120" s="87" t="s">
        <v>83</v>
      </c>
      <c r="J120" s="85">
        <f t="shared" si="12"/>
        <v>2923.0334023122587</v>
      </c>
      <c r="K120" s="85">
        <f t="shared" si="13"/>
        <v>2029.5365403600063</v>
      </c>
      <c r="M120" s="767">
        <f>IFERROR(NSW!K43-E120,0)</f>
        <v>161.50926234554933</v>
      </c>
      <c r="N120" s="767">
        <f>IFERROR(NSW!L43-F120,0)</f>
        <v>179.59089840536257</v>
      </c>
    </row>
    <row r="121" spans="1:14">
      <c r="A121" s="872" t="s">
        <v>42</v>
      </c>
      <c r="B121" s="1058" t="s">
        <v>154</v>
      </c>
      <c r="C121" s="83" t="s">
        <v>43</v>
      </c>
      <c r="D121" s="82" t="s">
        <v>110</v>
      </c>
      <c r="E121" s="85">
        <f>IFERROR(IF(NSW!$C$3="Yes",NSW!K44,NSW!K44*(1-'Gap data'!$C93)),"")</f>
        <v>164.60109258349337</v>
      </c>
      <c r="F121" s="85">
        <f>IFERROR(IF(NSW!$C$3="Yes",NSW!L44,NSW!L44*(1-'Gap data'!$C93)),"")</f>
        <v>111.10359499698866</v>
      </c>
      <c r="G121" s="84"/>
      <c r="H121" s="86" t="s">
        <v>377</v>
      </c>
      <c r="I121" s="87" t="s">
        <v>378</v>
      </c>
      <c r="J121" s="85">
        <f>E148</f>
        <v>210000</v>
      </c>
      <c r="K121" s="85">
        <f>F148</f>
        <v>210000</v>
      </c>
      <c r="M121" s="767">
        <f>IFERROR(NSW!K44-E121,0)</f>
        <v>0.19230741650665095</v>
      </c>
      <c r="N121" s="767">
        <f>IFERROR(NSW!L44-F121,0)</f>
        <v>0.12980500301134157</v>
      </c>
    </row>
    <row r="122" spans="1:14">
      <c r="A122" s="873"/>
      <c r="B122" s="1059"/>
      <c r="C122" s="83" t="s">
        <v>44</v>
      </c>
      <c r="D122" s="82" t="s">
        <v>111</v>
      </c>
      <c r="E122" s="85">
        <f>IFERROR(IF(NSW!$C$3="Yes",NSW!K45,NSW!K45*(1-'Gap data'!$C94)),"")</f>
        <v>0.74477745425815844</v>
      </c>
      <c r="F122" s="85">
        <f>IFERROR(IF(NSW!$C$3="Yes",NSW!L45,NSW!L45*(1-'Gap data'!$C94)),"")</f>
        <v>8.2199217691662891</v>
      </c>
      <c r="G122" s="760" t="str">
        <f>G103</f>
        <v>NSW</v>
      </c>
      <c r="H122" s="86" t="s">
        <v>379</v>
      </c>
      <c r="I122" s="87" t="s">
        <v>176</v>
      </c>
      <c r="J122" s="85">
        <f>E122</f>
        <v>0.74477745425815844</v>
      </c>
      <c r="K122" s="85">
        <f>F122</f>
        <v>8.2199217691662891</v>
      </c>
      <c r="M122" s="767">
        <f>IFERROR(NSW!K45-E122,0)</f>
        <v>8.2254574184159601E-4</v>
      </c>
      <c r="N122" s="767">
        <f>IFERROR(NSW!L45-F122,0)</f>
        <v>9.0782308337100659E-3</v>
      </c>
    </row>
    <row r="123" spans="1:14">
      <c r="A123" s="874"/>
      <c r="B123" s="1060"/>
      <c r="C123" s="83" t="s">
        <v>45</v>
      </c>
      <c r="D123" s="82" t="s">
        <v>155</v>
      </c>
      <c r="E123" s="85">
        <f>IFERROR(IF(NSW!$C$3="Yes",NSW!K46,NSW!K46*(1-'Gap data'!$C95)),"")</f>
        <v>16.36</v>
      </c>
      <c r="F123" s="85">
        <f>IFERROR(IF(NSW!$C$3="Yes",NSW!L46,NSW!L46*(1-'Gap data'!$C95)),"")</f>
        <v>20.475000000000001</v>
      </c>
      <c r="G123" s="84"/>
      <c r="H123" s="86" t="s">
        <v>380</v>
      </c>
      <c r="I123" s="87" t="s">
        <v>381</v>
      </c>
      <c r="J123" s="85" t="str">
        <f>E136</f>
        <v/>
      </c>
      <c r="K123" s="85" t="str">
        <f>F136</f>
        <v/>
      </c>
      <c r="M123" s="767">
        <f>IFERROR(NSW!K46-E123,0)</f>
        <v>0</v>
      </c>
      <c r="N123" s="767">
        <f>IFERROR(NSW!L46-F123,0)</f>
        <v>0</v>
      </c>
    </row>
    <row r="124" spans="1:14">
      <c r="A124" s="872" t="s">
        <v>46</v>
      </c>
      <c r="B124" s="1058" t="s">
        <v>156</v>
      </c>
      <c r="C124" s="83" t="s">
        <v>47</v>
      </c>
      <c r="D124" s="82" t="s">
        <v>112</v>
      </c>
      <c r="E124" s="85">
        <f>IFERROR(IF(NSW!$C$3="Yes",NSW!K47,NSW!K47*(1-'Gap data'!$C96)),"")</f>
        <v>8785.7695091315454</v>
      </c>
      <c r="F124" s="85">
        <f>IFERROR(IF(NSW!$C$3="Yes",NSW!L47,NSW!L47*(1-'Gap data'!$C96)),"")</f>
        <v>9275.6538442842866</v>
      </c>
      <c r="G124" s="84"/>
      <c r="H124" s="86" t="s">
        <v>382</v>
      </c>
      <c r="I124" s="87" t="s">
        <v>383</v>
      </c>
      <c r="J124" s="85">
        <f>E132</f>
        <v>123.15987862034656</v>
      </c>
      <c r="K124" s="85">
        <f>F132</f>
        <v>62.51817175536339</v>
      </c>
      <c r="M124" s="767">
        <f>IFERROR(NSW!K47-E124,0)</f>
        <v>6295.1881058684521</v>
      </c>
      <c r="N124" s="767">
        <f>IFERROR(NSW!L47-F124,0)</f>
        <v>6646.200505715673</v>
      </c>
    </row>
    <row r="125" spans="1:14">
      <c r="A125" s="873"/>
      <c r="B125" s="1059"/>
      <c r="C125" s="83" t="s">
        <v>48</v>
      </c>
      <c r="D125" s="82" t="s">
        <v>157</v>
      </c>
      <c r="E125" s="85">
        <f>IFERROR(IF(NSW!$C$3="Yes",NSW!K48,NSW!K48*(1-'Gap data'!$C97)),"")</f>
        <v>40332.977275869322</v>
      </c>
      <c r="F125" s="85">
        <f>IFERROR(IF(NSW!$C$3="Yes",NSW!L48,NSW!L48*(1-'Gap data'!$C97)),"")</f>
        <v>40049.09716171195</v>
      </c>
      <c r="G125" s="84"/>
      <c r="H125" s="86" t="s">
        <v>384</v>
      </c>
      <c r="I125" s="87" t="s">
        <v>106</v>
      </c>
      <c r="J125" s="85" t="str">
        <f>E117</f>
        <v/>
      </c>
      <c r="K125" s="85" t="str">
        <f>F117</f>
        <v/>
      </c>
      <c r="M125" s="767">
        <f>IFERROR(NSW!K48-E125,0)</f>
        <v>3703.9911241306181</v>
      </c>
      <c r="N125" s="767">
        <f>IFERROR(NSW!L48-F125,0)</f>
        <v>3677.9209082880334</v>
      </c>
    </row>
    <row r="126" spans="1:14">
      <c r="A126" s="874"/>
      <c r="B126" s="1060"/>
      <c r="C126" s="83" t="s">
        <v>49</v>
      </c>
      <c r="D126" s="82" t="s">
        <v>158</v>
      </c>
      <c r="E126" s="85">
        <f>IFERROR(IF(NSW!$C$3="Yes",NSW!K49,NSW!K49*(1-'Gap data'!$C98)),"")</f>
        <v>1887.5091461241857</v>
      </c>
      <c r="F126" s="85">
        <f>IFERROR(IF(NSW!$C$3="Yes",NSW!L49,NSW!L49*(1-'Gap data'!$C98)),"")</f>
        <v>1649.2332239751968</v>
      </c>
      <c r="G126" s="84"/>
      <c r="H126" s="86" t="s">
        <v>385</v>
      </c>
      <c r="I126" s="87" t="s">
        <v>108</v>
      </c>
      <c r="J126" s="85">
        <f>E119</f>
        <v>642.64251989340335</v>
      </c>
      <c r="K126" s="85">
        <f>F119</f>
        <v>151.28917150439722</v>
      </c>
      <c r="M126" s="767">
        <f>IFERROR(NSW!K49-E126,0)</f>
        <v>309.86635387581441</v>
      </c>
      <c r="N126" s="767">
        <f>IFERROR(NSW!L49-F126,0)</f>
        <v>270.74935602480286</v>
      </c>
    </row>
    <row r="127" spans="1:14">
      <c r="A127" s="872" t="s">
        <v>50</v>
      </c>
      <c r="B127" s="1058" t="s">
        <v>159</v>
      </c>
      <c r="C127" s="83" t="s">
        <v>51</v>
      </c>
      <c r="D127" s="82" t="s">
        <v>113</v>
      </c>
      <c r="E127" s="99">
        <f>'Gap data'!$C175*'Gap data'!$C12/1000000*(1-'Gap data'!$C99)</f>
        <v>35906.171872771738</v>
      </c>
      <c r="F127" s="99">
        <f>'Gap data'!$C175*'Gap data'!$C13/1000000*(1-'Gap data'!$C99)</f>
        <v>36129.019143237529</v>
      </c>
      <c r="G127" s="84"/>
      <c r="H127" s="86" t="s">
        <v>386</v>
      </c>
      <c r="I127" s="87" t="s">
        <v>107</v>
      </c>
      <c r="J127" s="85">
        <f>E118</f>
        <v>3057.7599112255803</v>
      </c>
      <c r="K127" s="85">
        <f>F118</f>
        <v>1117.9078923446214</v>
      </c>
      <c r="M127" s="767"/>
      <c r="N127" s="767"/>
    </row>
    <row r="128" spans="1:14">
      <c r="A128" s="873"/>
      <c r="B128" s="1059"/>
      <c r="C128" s="83" t="s">
        <v>115</v>
      </c>
      <c r="D128" s="82" t="s">
        <v>114</v>
      </c>
      <c r="E128" s="99">
        <f>'Gap data'!$C176*'Gap data'!$C12/1000000*(1-'Gap data'!$C100)</f>
        <v>81179.302030320468</v>
      </c>
      <c r="F128" s="99">
        <f>'Gap data'!$C176*'Gap data'!$C13/1000000*(1-'Gap data'!$C100)</f>
        <v>81683.131453848997</v>
      </c>
      <c r="G128" s="84"/>
      <c r="H128" s="86" t="s">
        <v>387</v>
      </c>
      <c r="I128" s="87" t="s">
        <v>388</v>
      </c>
      <c r="J128" s="85" t="str">
        <f t="shared" ref="J128:J129" si="14">E134</f>
        <v/>
      </c>
      <c r="K128" s="85" t="str">
        <f t="shared" ref="K128:K129" si="15">F134</f>
        <v/>
      </c>
      <c r="M128" s="767"/>
      <c r="N128" s="767"/>
    </row>
    <row r="129" spans="1:14">
      <c r="A129" s="873"/>
      <c r="B129" s="1059"/>
      <c r="C129" s="83" t="s">
        <v>52</v>
      </c>
      <c r="D129" s="82" t="s">
        <v>116</v>
      </c>
      <c r="E129" s="85" t="str">
        <f>IFERROR(IF(NSW!$C$3="Yes",NSW!K52,NSW!K52*(1-'Gap data'!$C101)),"")</f>
        <v/>
      </c>
      <c r="F129" s="85" t="str">
        <f>IFERROR(IF(NSW!$C$3="Yes",NSW!L52,NSW!L52*(1-'Gap data'!$C101)),"")</f>
        <v/>
      </c>
      <c r="G129" s="84"/>
      <c r="H129" s="86" t="s">
        <v>389</v>
      </c>
      <c r="I129" s="87" t="s">
        <v>390</v>
      </c>
      <c r="J129" s="85" t="str">
        <f t="shared" si="14"/>
        <v/>
      </c>
      <c r="K129" s="85" t="str">
        <f t="shared" si="15"/>
        <v/>
      </c>
      <c r="M129" s="767">
        <f>IFERROR(NSW!K52-E129,0)</f>
        <v>0</v>
      </c>
      <c r="N129" s="767">
        <f>IFERROR(NSW!L52-F129,0)</f>
        <v>0</v>
      </c>
    </row>
    <row r="130" spans="1:14">
      <c r="A130" s="874"/>
      <c r="B130" s="1060"/>
      <c r="C130" s="83" t="s">
        <v>118</v>
      </c>
      <c r="D130" s="82" t="s">
        <v>117</v>
      </c>
      <c r="E130" s="85" t="str">
        <f>IFERROR(IF(NSW!$C$3="Yes",NSW!K53,NSW!K53*(1-'Gap data'!$C102)),"")</f>
        <v/>
      </c>
      <c r="F130" s="85" t="str">
        <f>IFERROR(IF(NSW!$C$3="Yes",NSW!L53,NSW!L53*(1-'Gap data'!$C102)),"")</f>
        <v/>
      </c>
      <c r="G130" s="84"/>
      <c r="H130" s="86" t="s">
        <v>391</v>
      </c>
      <c r="I130" s="87" t="s">
        <v>392</v>
      </c>
      <c r="J130" s="85">
        <f>E133</f>
        <v>1.6983793016102768</v>
      </c>
      <c r="K130" s="85">
        <f>F133</f>
        <v>0.15791947892165731</v>
      </c>
      <c r="M130" s="767">
        <f>IFERROR(NSW!K53-E130,0)</f>
        <v>0</v>
      </c>
      <c r="N130" s="767">
        <f>IFERROR(NSW!L53-F130,0)</f>
        <v>0</v>
      </c>
    </row>
    <row r="131" spans="1:14">
      <c r="A131" s="872" t="s">
        <v>53</v>
      </c>
      <c r="B131" s="1058" t="s">
        <v>54</v>
      </c>
      <c r="C131" s="83" t="s">
        <v>55</v>
      </c>
      <c r="D131" s="82" t="s">
        <v>160</v>
      </c>
      <c r="E131" s="85">
        <f>IFERROR(IF(NSW!$C$3="Yes",NSW!K54,NSW!K54*(1-'Gap data'!$C103)),"")</f>
        <v>1410.4872423789261</v>
      </c>
      <c r="F131" s="85">
        <f>IFERROR(IF(NSW!$C$3="Yes",NSW!L54,NSW!L54*(1-'Gap data'!$C103)),"")</f>
        <v>1255.9890306207328</v>
      </c>
      <c r="G131" s="84"/>
      <c r="H131" s="93"/>
      <c r="I131" s="94" t="s">
        <v>405</v>
      </c>
      <c r="J131" s="95"/>
      <c r="K131" s="96"/>
      <c r="M131" s="767">
        <f>IFERROR(NSW!K54-E131,0)</f>
        <v>36.070257621074688</v>
      </c>
      <c r="N131" s="767">
        <f>IFERROR(NSW!L54-F131,0)</f>
        <v>32.119289379267457</v>
      </c>
    </row>
    <row r="132" spans="1:14">
      <c r="A132" s="873"/>
      <c r="B132" s="1059"/>
      <c r="C132" s="83" t="s">
        <v>56</v>
      </c>
      <c r="D132" s="82" t="s">
        <v>161</v>
      </c>
      <c r="E132" s="85">
        <f>IFERROR(IF(NSW!$C$3="Yes",NSW!K55,NSW!K55*(1-'Gap data'!$C104)),"")</f>
        <v>123.15987862034656</v>
      </c>
      <c r="F132" s="85">
        <f>IFERROR(IF(NSW!$C$3="Yes",NSW!L55,NSW!L55*(1-'Gap data'!$C104)),"")</f>
        <v>62.51817175536339</v>
      </c>
      <c r="G132" s="84"/>
      <c r="H132" s="86" t="s">
        <v>393</v>
      </c>
      <c r="I132" s="87" t="s">
        <v>394</v>
      </c>
      <c r="J132" s="99">
        <f>'Gap data'!$B$23*'Gap data'!C12</f>
        <v>2171752.8294745013</v>
      </c>
      <c r="K132" s="99">
        <f>'Gap data'!$B$23*'Gap data'!C13</f>
        <v>2185231.5481719337</v>
      </c>
      <c r="M132" s="767">
        <f>IFERROR(NSW!K55-E132,0)</f>
        <v>3.5121379653432427E-2</v>
      </c>
      <c r="N132" s="767">
        <f>IFERROR(NSW!L55-F132,0)</f>
        <v>1.7828244636611146E-2</v>
      </c>
    </row>
    <row r="133" spans="1:14">
      <c r="A133" s="873"/>
      <c r="B133" s="1059"/>
      <c r="C133" s="83" t="s">
        <v>57</v>
      </c>
      <c r="D133" s="82" t="s">
        <v>162</v>
      </c>
      <c r="E133" s="85">
        <f>IFERROR(IF(NSW!$C$3="Yes",NSW!K56,NSW!K56*(1-'Gap data'!$C105)),"")</f>
        <v>1.6983793016102768</v>
      </c>
      <c r="F133" s="85">
        <f>IFERROR(IF(NSW!$C$3="Yes",NSW!L56,NSW!L56*(1-'Gap data'!$C105)),"")</f>
        <v>0.15791947892165731</v>
      </c>
      <c r="G133" s="84"/>
      <c r="H133" s="86" t="s">
        <v>395</v>
      </c>
      <c r="I133" s="87" t="s">
        <v>396</v>
      </c>
      <c r="J133" s="762">
        <v>0</v>
      </c>
      <c r="K133" s="762">
        <v>0</v>
      </c>
      <c r="M133" s="767">
        <f>IFERROR(NSW!K56-E133,0)</f>
        <v>1.1620698389723128E-2</v>
      </c>
      <c r="N133" s="767">
        <f>IFERROR(NSW!L56-F133,0)</f>
        <v>1.0805210783426944E-3</v>
      </c>
    </row>
    <row r="134" spans="1:14">
      <c r="A134" s="873"/>
      <c r="B134" s="1059"/>
      <c r="C134" s="83" t="s">
        <v>120</v>
      </c>
      <c r="D134" s="82" t="s">
        <v>119</v>
      </c>
      <c r="E134" s="85" t="str">
        <f>IFERROR(IF(NSW!$C$3="Yes",NSW!K57,NSW!K57*(1-'Gap data'!$C106)),"")</f>
        <v/>
      </c>
      <c r="F134" s="85" t="str">
        <f>IFERROR(IF(NSW!$C$3="Yes",NSW!L57,NSW!L57*(1-'Gap data'!$C106)),"")</f>
        <v/>
      </c>
      <c r="G134" s="84"/>
      <c r="H134" s="100"/>
      <c r="I134" s="101" t="s">
        <v>408</v>
      </c>
      <c r="J134" s="102"/>
      <c r="K134" s="103"/>
      <c r="M134" s="767">
        <f>IFERROR(NSW!K57-E134,0)</f>
        <v>0</v>
      </c>
      <c r="N134" s="767">
        <f>IFERROR(NSW!L57-F134,0)</f>
        <v>0</v>
      </c>
    </row>
    <row r="135" spans="1:14">
      <c r="A135" s="873"/>
      <c r="B135" s="1059"/>
      <c r="C135" s="83" t="s">
        <v>122</v>
      </c>
      <c r="D135" s="82" t="s">
        <v>121</v>
      </c>
      <c r="E135" s="85" t="str">
        <f>IFERROR(IF(NSW!$C$3="Yes",NSW!K58,NSW!K58*(1-'Gap data'!$C107)),"")</f>
        <v/>
      </c>
      <c r="F135" s="85" t="str">
        <f>IFERROR(IF(NSW!$C$3="Yes",NSW!L58,NSW!L58*(1-'Gap data'!$C107)),"")</f>
        <v/>
      </c>
      <c r="G135" s="84"/>
      <c r="H135" s="89">
        <v>1</v>
      </c>
      <c r="I135" s="104" t="s">
        <v>397</v>
      </c>
      <c r="J135" s="85">
        <f>SUM(E100:E101,E106:E107)</f>
        <v>20.444843753754135</v>
      </c>
      <c r="K135" s="85">
        <f>SUM(F100:F101,F106:F107)</f>
        <v>1.3535229086856106</v>
      </c>
      <c r="M135" s="767">
        <f>IFERROR(NSW!K58-E135,0)</f>
        <v>0</v>
      </c>
      <c r="N135" s="767">
        <f>IFERROR(NSW!L58-F135,0)</f>
        <v>0</v>
      </c>
    </row>
    <row r="136" spans="1:14">
      <c r="A136" s="873"/>
      <c r="B136" s="1059"/>
      <c r="C136" s="83" t="s">
        <v>124</v>
      </c>
      <c r="D136" s="82" t="s">
        <v>123</v>
      </c>
      <c r="E136" s="85" t="str">
        <f>IFERROR(IF(NSW!$C$3="Yes",NSW!K59,NSW!K59*(1-'Gap data'!$C108)),"")</f>
        <v/>
      </c>
      <c r="F136" s="85" t="str">
        <f>IFERROR(IF(NSW!$C$3="Yes",NSW!L59,NSW!L59*(1-'Gap data'!$C108)),"")</f>
        <v/>
      </c>
      <c r="G136" s="84"/>
      <c r="H136" s="89">
        <v>2</v>
      </c>
      <c r="I136" s="104" t="s">
        <v>398</v>
      </c>
      <c r="J136" s="85">
        <f>SUM(E108:E110,E113)</f>
        <v>18181.833618520213</v>
      </c>
      <c r="K136" s="85">
        <f>SUM(F108:F110,F113)</f>
        <v>19248.109032487766</v>
      </c>
      <c r="M136" s="767">
        <f>IFERROR(NSW!K59-E136,0)</f>
        <v>0</v>
      </c>
      <c r="N136" s="767">
        <f>IFERROR(NSW!L59-F136,0)</f>
        <v>0</v>
      </c>
    </row>
    <row r="137" spans="1:14">
      <c r="A137" s="873"/>
      <c r="B137" s="1059"/>
      <c r="C137" s="83" t="s">
        <v>58</v>
      </c>
      <c r="D137" s="82" t="s">
        <v>136</v>
      </c>
      <c r="E137" s="85">
        <f>IFERROR(IF(NSW!$C$3="Yes",NSW!K60,NSW!K60*(1-'Gap data'!$C109)),"")</f>
        <v>23.473375091790277</v>
      </c>
      <c r="F137" s="85">
        <f>IFERROR(IF(NSW!$C$3="Yes",NSW!L60,NSW!L60*(1-'Gap data'!$C109)),"")</f>
        <v>54.953579233367599</v>
      </c>
      <c r="G137" s="84"/>
      <c r="H137" s="89">
        <v>3</v>
      </c>
      <c r="I137" s="104" t="s">
        <v>323</v>
      </c>
      <c r="J137" s="85">
        <f>SUM(E137:E140)</f>
        <v>3742.5147939686526</v>
      </c>
      <c r="K137" s="85">
        <f>SUM(F137:F140)</f>
        <v>3648.6369765454624</v>
      </c>
      <c r="M137" s="767">
        <f>IFERROR(NSW!K60-E137,0)</f>
        <v>1.3681249082097224</v>
      </c>
      <c r="N137" s="767">
        <f>IFERROR(NSW!L60-F137,0)</f>
        <v>3.2029207666324027</v>
      </c>
    </row>
    <row r="138" spans="1:14">
      <c r="A138" s="873"/>
      <c r="B138" s="1059"/>
      <c r="C138" s="83" t="s">
        <v>59</v>
      </c>
      <c r="D138" s="82" t="s">
        <v>125</v>
      </c>
      <c r="E138" s="85" t="str">
        <f>IFERROR(IF(NSW!$C$3="Yes",NSW!K61,NSW!K61*(1-'Gap data'!$C110)),"")</f>
        <v/>
      </c>
      <c r="F138" s="85" t="str">
        <f>IFERROR(IF(NSW!$C$3="Yes",NSW!L61,NSW!L61*(1-'Gap data'!$C110)),"")</f>
        <v/>
      </c>
      <c r="G138" s="84"/>
      <c r="H138" s="89">
        <v>4</v>
      </c>
      <c r="I138" s="104" t="s">
        <v>159</v>
      </c>
      <c r="J138" s="85">
        <f t="shared" ref="J138:K138" si="16">SUM(E127:E130)</f>
        <v>117085.47390309221</v>
      </c>
      <c r="K138" s="85">
        <f t="shared" si="16"/>
        <v>117812.15059708653</v>
      </c>
      <c r="M138" s="767">
        <f>IFERROR(NSW!K61-E138,0)</f>
        <v>0</v>
      </c>
      <c r="N138" s="767">
        <f>IFERROR(NSW!L61-F138,0)</f>
        <v>0</v>
      </c>
    </row>
    <row r="139" spans="1:14">
      <c r="A139" s="873"/>
      <c r="B139" s="1059"/>
      <c r="C139" s="83" t="s">
        <v>60</v>
      </c>
      <c r="D139" s="82" t="s">
        <v>163</v>
      </c>
      <c r="E139" s="85">
        <f>IFERROR(IF(NSW!$C$3="Yes",NSW!K62,NSW!K62*(1-'Gap data'!$C111)),"")</f>
        <v>3719.0414188768623</v>
      </c>
      <c r="F139" s="85">
        <f>IFERROR(IF(NSW!$C$3="Yes",NSW!L62,NSW!L62*(1-'Gap data'!$C111)),"")</f>
        <v>3593.6833973120947</v>
      </c>
      <c r="G139" s="84"/>
      <c r="H139" s="89">
        <v>5</v>
      </c>
      <c r="I139" s="82" t="s">
        <v>399</v>
      </c>
      <c r="J139" s="85">
        <f>E141</f>
        <v>4107.7034643506895</v>
      </c>
      <c r="K139" s="85">
        <f>F141</f>
        <v>3981.5393387843942</v>
      </c>
      <c r="M139" s="767">
        <f>IFERROR(NSW!K62-E139,0)</f>
        <v>1446.5842311231377</v>
      </c>
      <c r="N139" s="767">
        <f>IFERROR(NSW!L62-F139,0)</f>
        <v>1397.824102687905</v>
      </c>
    </row>
    <row r="140" spans="1:14">
      <c r="A140" s="874"/>
      <c r="B140" s="1060"/>
      <c r="C140" s="83" t="s">
        <v>61</v>
      </c>
      <c r="D140" s="82" t="s">
        <v>126</v>
      </c>
      <c r="E140" s="85" t="str">
        <f>IFERROR(IF(NSW!$C$3="Yes",NSW!K63,NSW!K63*(1-'Gap data'!$C112)),"")</f>
        <v/>
      </c>
      <c r="F140" s="85" t="str">
        <f>IFERROR(IF(NSW!$C$3="Yes",NSW!L63,NSW!L63*(1-'Gap data'!$C112)),"")</f>
        <v/>
      </c>
      <c r="G140" s="84"/>
      <c r="H140" s="89">
        <v>6</v>
      </c>
      <c r="I140" s="105" t="s">
        <v>462</v>
      </c>
      <c r="J140" s="763">
        <f t="shared" ref="J140" si="17">E142</f>
        <v>171100</v>
      </c>
      <c r="K140" s="763">
        <f t="shared" ref="K140" si="18">F142</f>
        <v>171100</v>
      </c>
      <c r="M140" s="767">
        <f>IFERROR(NSW!K63-E140,0)</f>
        <v>0</v>
      </c>
      <c r="N140" s="767">
        <f>IFERROR(NSW!L63-F140,0)</f>
        <v>0</v>
      </c>
    </row>
    <row r="141" spans="1:14">
      <c r="A141" s="872" t="s">
        <v>62</v>
      </c>
      <c r="B141" s="1058" t="s">
        <v>164</v>
      </c>
      <c r="C141" s="83" t="s">
        <v>63</v>
      </c>
      <c r="D141" s="82" t="s">
        <v>165</v>
      </c>
      <c r="E141" s="85">
        <f>IFERROR(IF(NSW!$C$3="Yes",NSW!K64,NSW!K64*(1-'Gap data'!$C113)),"")</f>
        <v>4107.7034643506895</v>
      </c>
      <c r="F141" s="85">
        <f>IFERROR(IF(NSW!$C$3="Yes",NSW!L64,NSW!L64*(1-'Gap data'!$C113)),"")</f>
        <v>3981.5393387843942</v>
      </c>
      <c r="H141" s="89">
        <v>7</v>
      </c>
      <c r="I141" s="105" t="s">
        <v>463</v>
      </c>
      <c r="J141" s="763">
        <f>SUM(E143,E146)</f>
        <v>1216.48</v>
      </c>
      <c r="K141" s="763">
        <f>SUM(F143,F146)</f>
        <v>2218.8923714285716</v>
      </c>
      <c r="M141" s="767">
        <f>IFERROR(NSW!K64-E141,0)</f>
        <v>2729.0822036493128</v>
      </c>
      <c r="N141" s="767">
        <f>IFERROR(NSW!L64-F141,0)</f>
        <v>2645.2610922156073</v>
      </c>
    </row>
    <row r="142" spans="1:14">
      <c r="A142" s="873"/>
      <c r="B142" s="1059"/>
      <c r="C142" s="83" t="s">
        <v>64</v>
      </c>
      <c r="D142" s="82" t="s">
        <v>127</v>
      </c>
      <c r="E142" s="85">
        <f>NSW!K65</f>
        <v>171100</v>
      </c>
      <c r="F142" s="85">
        <f>NSW!L65</f>
        <v>171100</v>
      </c>
      <c r="G142" s="760" t="str">
        <f>G122</f>
        <v>NSW</v>
      </c>
      <c r="H142" s="89">
        <v>8</v>
      </c>
      <c r="I142" s="104" t="s">
        <v>133</v>
      </c>
      <c r="J142" s="85">
        <f>E155</f>
        <v>54135</v>
      </c>
      <c r="K142" s="85">
        <f>F155</f>
        <v>54135</v>
      </c>
      <c r="M142" s="767">
        <f>IFERROR(NSW!K65-E142,0)</f>
        <v>0</v>
      </c>
      <c r="N142" s="767">
        <f>IFERROR(NSW!L65-F142,0)</f>
        <v>0</v>
      </c>
    </row>
    <row r="143" spans="1:14">
      <c r="A143" s="873"/>
      <c r="B143" s="1059"/>
      <c r="C143" s="83" t="s">
        <v>65</v>
      </c>
      <c r="D143" s="82" t="s">
        <v>166</v>
      </c>
      <c r="E143" s="85">
        <f>IFERROR(IF(NSW!$C$3="Yes",NSW!K66,NSW!K66*(1-'Gap data'!$C115)),"")</f>
        <v>8.58</v>
      </c>
      <c r="F143" s="85">
        <f>IFERROR(IF(NSW!$C$3="Yes",NSW!L66,NSW!L66*(1-'Gap data'!$C115)),"")</f>
        <v>1.8685714285714288</v>
      </c>
      <c r="G143" s="106"/>
      <c r="H143" s="107"/>
      <c r="M143" s="767">
        <f>IFERROR(NSW!K66-E143,0)</f>
        <v>1.4299999999999997</v>
      </c>
      <c r="N143" s="767">
        <f>IFERROR(NSW!L66-F143,0)</f>
        <v>0.31142857142857139</v>
      </c>
    </row>
    <row r="144" spans="1:14">
      <c r="A144" s="873"/>
      <c r="B144" s="1059"/>
      <c r="C144" s="83" t="s">
        <v>66</v>
      </c>
      <c r="D144" s="82" t="s">
        <v>173</v>
      </c>
      <c r="E144" s="85" t="str">
        <f>IFERROR(IF(NSW!$C$3="Yes",NSW!K67,NSW!K67*(1-'Gap data'!$C116)),"")</f>
        <v/>
      </c>
      <c r="F144" s="85" t="str">
        <f>IFERROR(IF(NSW!$C$3="Yes",NSW!L67,NSW!L67*(1-'Gap data'!$C116)),"")</f>
        <v/>
      </c>
      <c r="G144" s="106"/>
      <c r="H144" s="107"/>
      <c r="M144" s="767">
        <f>IFERROR(NSW!K67-E144,0)</f>
        <v>0</v>
      </c>
      <c r="N144" s="767">
        <f>IFERROR(NSW!L67-F144,0)</f>
        <v>0</v>
      </c>
    </row>
    <row r="145" spans="1:14">
      <c r="A145" s="873"/>
      <c r="B145" s="1059"/>
      <c r="C145" s="83" t="s">
        <v>67</v>
      </c>
      <c r="D145" s="82" t="s">
        <v>174</v>
      </c>
      <c r="E145" s="85">
        <f>IFERROR(IF(NSW!$C$3="Yes",NSW!K68,NSW!K68*(1-'Gap data'!$C117)),"")</f>
        <v>3776.3443061590624</v>
      </c>
      <c r="F145" s="85">
        <f>IFERROR(IF(NSW!$C$3="Yes",NSW!L68,NSW!L68*(1-'Gap data'!$C117)),"")</f>
        <v>2807.6508208253131</v>
      </c>
      <c r="G145" s="106"/>
      <c r="H145" s="107"/>
      <c r="M145" s="767">
        <f>IFERROR(NSW!K68-E145,0)</f>
        <v>36.946573840937617</v>
      </c>
      <c r="N145" s="767">
        <f>IFERROR(NSW!L68-F145,0)</f>
        <v>27.469179174686815</v>
      </c>
    </row>
    <row r="146" spans="1:14">
      <c r="A146" s="873"/>
      <c r="B146" s="1059"/>
      <c r="C146" s="83" t="s">
        <v>68</v>
      </c>
      <c r="D146" s="82" t="s">
        <v>175</v>
      </c>
      <c r="E146" s="85">
        <f>IFERROR(IF(NSW!$C$3="Yes",NSW!K69,NSW!K69*(1-'Gap data'!$C118)),"")</f>
        <v>1207.9000000000001</v>
      </c>
      <c r="F146" s="85">
        <f>IFERROR(IF(NSW!$C$3="Yes",NSW!L69,NSW!L69*(1-'Gap data'!$C118)),"")</f>
        <v>2217.0237999999999</v>
      </c>
      <c r="G146" s="106"/>
      <c r="H146" s="107"/>
      <c r="M146" s="767">
        <f>IFERROR(NSW!K69-E146,0)</f>
        <v>0</v>
      </c>
      <c r="N146" s="767">
        <f>IFERROR(NSW!L69-F146,0)</f>
        <v>0</v>
      </c>
    </row>
    <row r="147" spans="1:14">
      <c r="A147" s="873"/>
      <c r="B147" s="1059"/>
      <c r="C147" s="83" t="s">
        <v>128</v>
      </c>
      <c r="D147" s="82" t="s">
        <v>167</v>
      </c>
      <c r="E147" s="108">
        <f>IF(ISNUMBER(NSW!K70),NSW!K70*IF(NSW!$C$3="Yes",1,1-'Gap data'!$C119),0)+'Gap data'!$C$35</f>
        <v>205042.80018070177</v>
      </c>
      <c r="F147" s="108">
        <f>IF(ISNUMBER(NSW!L70),NSW!L70*IF(NSW!$C$3="Yes",1,1-'Gap data'!$C119),0)+'Gap data'!$C$35</f>
        <v>206027.86397341048</v>
      </c>
      <c r="G147" s="106"/>
      <c r="H147" s="107"/>
      <c r="M147" s="767"/>
      <c r="N147" s="767"/>
    </row>
    <row r="148" spans="1:14">
      <c r="A148" s="873"/>
      <c r="B148" s="1059"/>
      <c r="C148" s="83" t="s">
        <v>69</v>
      </c>
      <c r="D148" s="82" t="s">
        <v>129</v>
      </c>
      <c r="E148" s="85">
        <f>NSW!K71</f>
        <v>210000</v>
      </c>
      <c r="F148" s="85">
        <f>NSW!L71</f>
        <v>210000</v>
      </c>
      <c r="G148" s="106"/>
      <c r="H148" s="107"/>
      <c r="M148" s="767">
        <f>IFERROR(NSW!K71-E148,0)</f>
        <v>0</v>
      </c>
      <c r="N148" s="767">
        <f>IFERROR(NSW!L71-F148,0)</f>
        <v>0</v>
      </c>
    </row>
    <row r="149" spans="1:14">
      <c r="A149" s="874"/>
      <c r="B149" s="1060"/>
      <c r="C149" s="83" t="s">
        <v>70</v>
      </c>
      <c r="D149" s="82" t="s">
        <v>168</v>
      </c>
      <c r="E149" s="85" t="str">
        <f>IFERROR(IF(NSW!$C$3="Yes",NSW!K72,NSW!K72*(1-'Gap data'!$C121)),"")</f>
        <v/>
      </c>
      <c r="F149" s="85" t="str">
        <f>IFERROR(IF(NSW!$C$3="Yes",NSW!L72,NSW!L72*(1-'Gap data'!$C121)),"")</f>
        <v/>
      </c>
      <c r="G149" s="106"/>
      <c r="H149" s="107"/>
      <c r="M149" s="767">
        <f>IFERROR(NSW!K72-E149,0)</f>
        <v>0</v>
      </c>
      <c r="N149" s="767">
        <f>IFERROR(NSW!L72-F149,0)</f>
        <v>0</v>
      </c>
    </row>
    <row r="150" spans="1:14">
      <c r="A150" s="872" t="s">
        <v>71</v>
      </c>
      <c r="B150" s="1058" t="s">
        <v>169</v>
      </c>
      <c r="C150" s="83" t="s">
        <v>72</v>
      </c>
      <c r="D150" s="82" t="s">
        <v>170</v>
      </c>
      <c r="E150" s="99">
        <f>'Gap data'!$C198*'Gap data'!$C12/1000000*IF(NSW!$C$3="Yes",1,1-'Gap data'!$C122)</f>
        <v>10260.532436418187</v>
      </c>
      <c r="F150" s="99">
        <f>'Gap data'!$C198*'Gap data'!$C12/1000000*IF(NSW!$C$3="Yes",1,1-'Gap data'!$C122)</f>
        <v>10260.532436418187</v>
      </c>
      <c r="G150" s="106"/>
      <c r="H150" s="107"/>
      <c r="M150" s="767"/>
      <c r="N150" s="767"/>
    </row>
    <row r="151" spans="1:14">
      <c r="A151" s="873"/>
      <c r="B151" s="1059"/>
      <c r="C151" s="83" t="s">
        <v>73</v>
      </c>
      <c r="D151" s="82" t="s">
        <v>130</v>
      </c>
      <c r="E151" s="99">
        <f>'Gap data'!$C199*'Gap data'!$C13/1000000*IF(NSW!$C$3="Yes",1,1-'Gap data'!$C123)</f>
        <v>790.09407971651012</v>
      </c>
      <c r="F151" s="99">
        <f>'Gap data'!$C199*'Gap data'!$C13/1000000*IF(NSW!$C$3="Yes",1,1-'Gap data'!$C123)</f>
        <v>790.09407971651012</v>
      </c>
      <c r="G151" s="106"/>
      <c r="H151" s="107"/>
      <c r="M151" s="767"/>
      <c r="N151" s="767"/>
    </row>
    <row r="152" spans="1:14">
      <c r="A152" s="874"/>
      <c r="B152" s="1060"/>
      <c r="C152" s="83" t="s">
        <v>74</v>
      </c>
      <c r="D152" s="82" t="s">
        <v>131</v>
      </c>
      <c r="E152" s="85">
        <f>IFERROR(IF(NSW!$C$3="Yes",NSW!K75,NSW!K75*(1-'Gap data'!$C124)),"")</f>
        <v>93.256778228518002</v>
      </c>
      <c r="F152" s="85">
        <f>IFERROR(IF(NSW!$C$3="Yes",NSW!L75,NSW!L75*(1-'Gap data'!$C124)),"")</f>
        <v>270.83573543114761</v>
      </c>
      <c r="G152" s="106"/>
      <c r="H152" s="107"/>
      <c r="M152" s="767">
        <f>IFERROR(NSW!K75-E152,0)</f>
        <v>10.357871771481982</v>
      </c>
      <c r="N152" s="767">
        <f>IFERROR(NSW!L75-F152,0)</f>
        <v>30.081264568852419</v>
      </c>
    </row>
    <row r="153" spans="1:14">
      <c r="A153" s="872" t="s">
        <v>75</v>
      </c>
      <c r="B153" s="1058" t="s">
        <v>76</v>
      </c>
      <c r="C153" s="83" t="s">
        <v>77</v>
      </c>
      <c r="D153" s="82" t="s">
        <v>171</v>
      </c>
      <c r="E153" s="85">
        <f>IFERROR(IF(NSW!$C$3="Yes",NSW!K76,NSW!K76*(1-'Gap data'!$C125)),"")</f>
        <v>839.73686004190597</v>
      </c>
      <c r="F153" s="85">
        <f>IFERROR(IF(NSW!$C$3="Yes",NSW!L76,NSW!L76*(1-'Gap data'!$C125)),"")</f>
        <v>1389.3217700984733</v>
      </c>
      <c r="G153" s="106"/>
      <c r="H153" s="107"/>
      <c r="M153" s="767">
        <f>IFERROR(NSW!K76-E153,0)</f>
        <v>281.76394495809529</v>
      </c>
      <c r="N153" s="767">
        <f>IFERROR(NSW!L76-F153,0)</f>
        <v>466.1707749015261</v>
      </c>
    </row>
    <row r="154" spans="1:14">
      <c r="A154" s="873"/>
      <c r="B154" s="1059"/>
      <c r="C154" s="83" t="s">
        <v>78</v>
      </c>
      <c r="D154" s="82" t="s">
        <v>132</v>
      </c>
      <c r="E154" s="85">
        <f>IFERROR(IF(NSW!$C$3="Yes",NSW!K77,NSW!K77*(1-'Gap data'!$C126)),"")</f>
        <v>76.009015097308662</v>
      </c>
      <c r="F154" s="85">
        <f>IFERROR(IF(NSW!$C$3="Yes",NSW!L77,NSW!L77*(1-'Gap data'!$C126)),"")</f>
        <v>96.176534571621033</v>
      </c>
      <c r="G154" s="106"/>
      <c r="H154" s="107"/>
      <c r="M154" s="767">
        <f>IFERROR(NSW!K77-E154,0)</f>
        <v>1.0344849026913323</v>
      </c>
      <c r="N154" s="767">
        <f>IFERROR(NSW!L77-F154,0)</f>
        <v>1.3089654283789685</v>
      </c>
    </row>
    <row r="155" spans="1:14">
      <c r="A155" s="873"/>
      <c r="B155" s="1059"/>
      <c r="C155" s="83" t="s">
        <v>134</v>
      </c>
      <c r="D155" s="82" t="s">
        <v>133</v>
      </c>
      <c r="E155" s="108">
        <f>'Gap data'!$C$42</f>
        <v>54135</v>
      </c>
      <c r="F155" s="108">
        <f>'Gap data'!$C$42</f>
        <v>54135</v>
      </c>
      <c r="G155" s="106"/>
      <c r="H155" s="107"/>
      <c r="M155" s="767"/>
      <c r="N155" s="767"/>
    </row>
    <row r="156" spans="1:14">
      <c r="A156" s="874"/>
      <c r="B156" s="1060"/>
      <c r="C156" s="83" t="s">
        <v>172</v>
      </c>
      <c r="D156" s="82" t="s">
        <v>135</v>
      </c>
      <c r="E156" s="85" t="str">
        <f>IFERROR(IF(NSW!$C$3="Yes",NSW!K79,NSW!K79*(1-'Gap data'!$C128)),"")</f>
        <v/>
      </c>
      <c r="F156" s="85" t="str">
        <f>IFERROR(IF(NSW!$C$3="Yes",NSW!L79,NSW!L79*(1-'Gap data'!$C128)),"")</f>
        <v/>
      </c>
      <c r="G156" s="106"/>
      <c r="H156" s="107"/>
      <c r="M156" s="767">
        <f>IFERROR(NSW!K79-E156,0)</f>
        <v>0</v>
      </c>
      <c r="N156" s="767">
        <f>IFERROR(NSW!L79-F156,0)</f>
        <v>0</v>
      </c>
    </row>
    <row r="157" spans="1:14">
      <c r="G157" s="109"/>
      <c r="H157" s="107"/>
    </row>
    <row r="158" spans="1:14" s="625" customFormat="1" ht="15.75">
      <c r="A158" s="625" t="s">
        <v>662</v>
      </c>
      <c r="D158" s="758"/>
      <c r="G158" s="759"/>
      <c r="H158" s="625" t="str">
        <f>A158</f>
        <v>Adjusted NT data</v>
      </c>
      <c r="I158" s="758"/>
    </row>
    <row r="159" spans="1:14">
      <c r="G159" s="109"/>
    </row>
    <row r="160" spans="1:14">
      <c r="A160" s="872" t="s">
        <v>3</v>
      </c>
      <c r="B160" s="1058" t="s">
        <v>137</v>
      </c>
      <c r="C160" s="83" t="s">
        <v>4</v>
      </c>
      <c r="D160" s="82" t="s">
        <v>79</v>
      </c>
      <c r="E160" s="85" t="str">
        <f>NT!K8</f>
        <v/>
      </c>
      <c r="F160" s="85" t="str">
        <f>NT!L8</f>
        <v/>
      </c>
      <c r="G160" s="84"/>
      <c r="H160" s="86" t="s">
        <v>324</v>
      </c>
      <c r="I160" s="87" t="s">
        <v>325</v>
      </c>
      <c r="J160" s="85">
        <f>E225</f>
        <v>43.709000000000003</v>
      </c>
      <c r="K160" s="85">
        <f>F225</f>
        <v>39.729399999999998</v>
      </c>
    </row>
    <row r="161" spans="1:11">
      <c r="A161" s="873"/>
      <c r="B161" s="1059"/>
      <c r="C161" s="83" t="s">
        <v>138</v>
      </c>
      <c r="D161" s="82" t="s">
        <v>139</v>
      </c>
      <c r="E161" s="85" t="str">
        <f>NT!K9</f>
        <v/>
      </c>
      <c r="F161" s="85" t="str">
        <f>NT!L9</f>
        <v/>
      </c>
      <c r="G161" s="84"/>
      <c r="H161" s="86" t="s">
        <v>326</v>
      </c>
      <c r="I161" s="87" t="s">
        <v>327</v>
      </c>
      <c r="J161" s="85" t="str">
        <f>E227</f>
        <v/>
      </c>
      <c r="K161" s="85" t="str">
        <f>F227</f>
        <v/>
      </c>
    </row>
    <row r="162" spans="1:11">
      <c r="A162" s="874"/>
      <c r="B162" s="1060"/>
      <c r="C162" s="83" t="s">
        <v>81</v>
      </c>
      <c r="D162" s="82" t="s">
        <v>80</v>
      </c>
      <c r="E162" s="85" t="str">
        <f>NT!K10</f>
        <v/>
      </c>
      <c r="F162" s="85" t="str">
        <f>NT!L10</f>
        <v/>
      </c>
      <c r="G162" s="84"/>
      <c r="H162" s="86" t="s">
        <v>328</v>
      </c>
      <c r="I162" s="87" t="s">
        <v>130</v>
      </c>
      <c r="J162" s="85">
        <f>E226</f>
        <v>11</v>
      </c>
      <c r="K162" s="85" t="str">
        <f>F226</f>
        <v/>
      </c>
    </row>
    <row r="163" spans="1:11">
      <c r="A163" s="90" t="s">
        <v>5</v>
      </c>
      <c r="B163" s="187" t="s">
        <v>6</v>
      </c>
      <c r="C163" s="83" t="s">
        <v>7</v>
      </c>
      <c r="D163" s="82" t="s">
        <v>82</v>
      </c>
      <c r="E163" s="85">
        <f>NT!K11</f>
        <v>50</v>
      </c>
      <c r="F163" s="85">
        <f>NT!L11</f>
        <v>1E-3</v>
      </c>
      <c r="G163" s="84"/>
      <c r="H163" s="86" t="s">
        <v>329</v>
      </c>
      <c r="I163" s="87" t="s">
        <v>330</v>
      </c>
      <c r="J163" s="85" t="str">
        <f>E196</f>
        <v/>
      </c>
      <c r="K163" s="85">
        <f>F196</f>
        <v>0.06</v>
      </c>
    </row>
    <row r="164" spans="1:11">
      <c r="A164" s="90" t="s">
        <v>8</v>
      </c>
      <c r="B164" s="187" t="s">
        <v>140</v>
      </c>
      <c r="C164" s="83" t="s">
        <v>9</v>
      </c>
      <c r="D164" s="82" t="s">
        <v>83</v>
      </c>
      <c r="E164" s="85">
        <f>NT!K12</f>
        <v>19.439</v>
      </c>
      <c r="F164" s="85">
        <f>NT!L12</f>
        <v>104</v>
      </c>
      <c r="G164" s="84"/>
      <c r="H164" s="86" t="s">
        <v>331</v>
      </c>
      <c r="I164" s="87" t="s">
        <v>332</v>
      </c>
      <c r="J164" s="85" t="str">
        <f>E198</f>
        <v/>
      </c>
      <c r="K164" s="85" t="str">
        <f>F198</f>
        <v/>
      </c>
    </row>
    <row r="165" spans="1:11">
      <c r="A165" s="872" t="s">
        <v>10</v>
      </c>
      <c r="B165" s="1058" t="s">
        <v>11</v>
      </c>
      <c r="C165" s="83" t="s">
        <v>12</v>
      </c>
      <c r="D165" s="82" t="s">
        <v>84</v>
      </c>
      <c r="E165" s="85" t="str">
        <f>NT!K13</f>
        <v/>
      </c>
      <c r="F165" s="85" t="str">
        <f>NT!L13</f>
        <v/>
      </c>
      <c r="G165" s="84"/>
      <c r="H165" s="86" t="s">
        <v>333</v>
      </c>
      <c r="I165" s="87" t="s">
        <v>334</v>
      </c>
      <c r="J165" s="85" t="str">
        <f>E195</f>
        <v/>
      </c>
      <c r="K165" s="85" t="str">
        <f>F195</f>
        <v/>
      </c>
    </row>
    <row r="166" spans="1:11">
      <c r="A166" s="873"/>
      <c r="B166" s="1059"/>
      <c r="C166" s="83" t="s">
        <v>13</v>
      </c>
      <c r="D166" s="82" t="s">
        <v>85</v>
      </c>
      <c r="E166" s="85" t="str">
        <f>NT!K14</f>
        <v/>
      </c>
      <c r="F166" s="85" t="str">
        <f>NT!L14</f>
        <v/>
      </c>
      <c r="G166" s="84"/>
      <c r="H166" s="86" t="s">
        <v>335</v>
      </c>
      <c r="I166" s="87" t="s">
        <v>336</v>
      </c>
      <c r="J166" s="85" t="str">
        <f>E161</f>
        <v/>
      </c>
      <c r="K166" s="85" t="str">
        <f>F161</f>
        <v/>
      </c>
    </row>
    <row r="167" spans="1:11">
      <c r="A167" s="873"/>
      <c r="B167" s="1059"/>
      <c r="C167" s="83" t="s">
        <v>14</v>
      </c>
      <c r="D167" s="82" t="s">
        <v>86</v>
      </c>
      <c r="E167" s="85">
        <f>NT!K15</f>
        <v>4.5</v>
      </c>
      <c r="F167" s="85">
        <f>NT!L15</f>
        <v>12</v>
      </c>
      <c r="G167" s="84"/>
      <c r="H167" s="86" t="s">
        <v>337</v>
      </c>
      <c r="I167" s="87" t="s">
        <v>322</v>
      </c>
      <c r="J167" s="85">
        <f t="shared" ref="J167:J168" si="19">E199</f>
        <v>2019.6373599999999</v>
      </c>
      <c r="K167" s="85">
        <f t="shared" ref="K167:K168" si="20">F199</f>
        <v>1203.2172</v>
      </c>
    </row>
    <row r="168" spans="1:11">
      <c r="A168" s="873"/>
      <c r="B168" s="1059"/>
      <c r="C168" s="83" t="s">
        <v>15</v>
      </c>
      <c r="D168" s="82" t="s">
        <v>87</v>
      </c>
      <c r="E168" s="85" t="str">
        <f>NT!K16</f>
        <v/>
      </c>
      <c r="F168" s="85" t="str">
        <f>NT!L16</f>
        <v/>
      </c>
      <c r="G168" s="84"/>
      <c r="H168" s="86" t="s">
        <v>338</v>
      </c>
      <c r="I168" s="87" t="s">
        <v>339</v>
      </c>
      <c r="J168" s="85">
        <f t="shared" si="19"/>
        <v>1089.405</v>
      </c>
      <c r="K168" s="85">
        <f t="shared" si="20"/>
        <v>2157.2600000000002</v>
      </c>
    </row>
    <row r="169" spans="1:11">
      <c r="A169" s="873"/>
      <c r="B169" s="1059"/>
      <c r="C169" s="83" t="s">
        <v>16</v>
      </c>
      <c r="D169" s="82" t="s">
        <v>88</v>
      </c>
      <c r="E169" s="85" t="str">
        <f>NT!K17</f>
        <v/>
      </c>
      <c r="F169" s="85" t="str">
        <f>NT!L17</f>
        <v/>
      </c>
      <c r="G169" s="84"/>
      <c r="H169" s="86" t="s">
        <v>340</v>
      </c>
      <c r="I169" s="87" t="s">
        <v>341</v>
      </c>
      <c r="J169" s="85">
        <f>E206</f>
        <v>4</v>
      </c>
      <c r="K169" s="85">
        <f>F206</f>
        <v>2.64</v>
      </c>
    </row>
    <row r="170" spans="1:11">
      <c r="A170" s="873"/>
      <c r="B170" s="1059"/>
      <c r="C170" s="83" t="s">
        <v>17</v>
      </c>
      <c r="D170" s="82" t="s">
        <v>89</v>
      </c>
      <c r="E170" s="85" t="str">
        <f>NT!K18</f>
        <v/>
      </c>
      <c r="F170" s="85" t="str">
        <f>NT!L18</f>
        <v/>
      </c>
      <c r="G170" s="84"/>
      <c r="H170" s="86" t="s">
        <v>342</v>
      </c>
      <c r="I170" s="87" t="s">
        <v>343</v>
      </c>
      <c r="J170" s="85" t="str">
        <f>E201</f>
        <v/>
      </c>
      <c r="K170" s="85" t="str">
        <f>F201</f>
        <v/>
      </c>
    </row>
    <row r="171" spans="1:11">
      <c r="A171" s="873"/>
      <c r="B171" s="1059"/>
      <c r="C171" s="83" t="s">
        <v>18</v>
      </c>
      <c r="D171" s="82" t="s">
        <v>90</v>
      </c>
      <c r="E171" s="85" t="str">
        <f>NT!K19</f>
        <v/>
      </c>
      <c r="F171" s="85" t="str">
        <f>NT!L19</f>
        <v/>
      </c>
      <c r="G171" s="84"/>
      <c r="H171" s="86" t="s">
        <v>344</v>
      </c>
      <c r="I171" s="87" t="s">
        <v>345</v>
      </c>
      <c r="J171" s="85">
        <f t="shared" ref="J171:J172" si="21">E190</f>
        <v>24.811</v>
      </c>
      <c r="K171" s="85">
        <f t="shared" ref="K171:K172" si="22">F190</f>
        <v>21.690999999999999</v>
      </c>
    </row>
    <row r="172" spans="1:11">
      <c r="A172" s="873"/>
      <c r="B172" s="1059"/>
      <c r="C172" s="83" t="s">
        <v>19</v>
      </c>
      <c r="D172" s="82" t="s">
        <v>141</v>
      </c>
      <c r="E172" s="85" t="str">
        <f>NT!K20</f>
        <v/>
      </c>
      <c r="F172" s="85" t="str">
        <f>NT!L20</f>
        <v/>
      </c>
      <c r="G172" s="84"/>
      <c r="H172" s="86" t="s">
        <v>346</v>
      </c>
      <c r="I172" s="87" t="s">
        <v>347</v>
      </c>
      <c r="J172" s="85">
        <f t="shared" si="21"/>
        <v>1</v>
      </c>
      <c r="K172" s="85" t="str">
        <f t="shared" si="22"/>
        <v/>
      </c>
    </row>
    <row r="173" spans="1:11">
      <c r="A173" s="873"/>
      <c r="B173" s="1059"/>
      <c r="C173" s="83" t="s">
        <v>142</v>
      </c>
      <c r="D173" s="82" t="s">
        <v>143</v>
      </c>
      <c r="E173" s="85" t="str">
        <f>NT!K21</f>
        <v/>
      </c>
      <c r="F173" s="85" t="str">
        <f>NT!L21</f>
        <v/>
      </c>
      <c r="G173" s="84"/>
      <c r="H173" s="86" t="s">
        <v>348</v>
      </c>
      <c r="I173" s="87" t="s">
        <v>349</v>
      </c>
      <c r="J173" s="85">
        <f>E228</f>
        <v>1.35</v>
      </c>
      <c r="K173" s="85">
        <f>F228</f>
        <v>26.24</v>
      </c>
    </row>
    <row r="174" spans="1:11">
      <c r="A174" s="873"/>
      <c r="B174" s="1059"/>
      <c r="C174" s="83" t="s">
        <v>20</v>
      </c>
      <c r="D174" s="82" t="s">
        <v>91</v>
      </c>
      <c r="E174" s="85" t="str">
        <f>NT!K22</f>
        <v/>
      </c>
      <c r="F174" s="85" t="str">
        <f>NT!L22</f>
        <v/>
      </c>
      <c r="G174" s="84"/>
      <c r="H174" s="86" t="s">
        <v>350</v>
      </c>
      <c r="I174" s="87" t="s">
        <v>351</v>
      </c>
      <c r="J174" s="85" t="str">
        <f>IFERROR(E231+E186+E187+E189,"")</f>
        <v/>
      </c>
      <c r="K174" s="85" t="str">
        <f>IFERROR(F231+F186+F187+F189,"")</f>
        <v/>
      </c>
    </row>
    <row r="175" spans="1:11">
      <c r="A175" s="873"/>
      <c r="B175" s="1059"/>
      <c r="C175" s="83" t="s">
        <v>21</v>
      </c>
      <c r="D175" s="82" t="s">
        <v>144</v>
      </c>
      <c r="E175" s="85" t="str">
        <f>NT!K23</f>
        <v/>
      </c>
      <c r="F175" s="85" t="str">
        <f>NT!L23</f>
        <v/>
      </c>
      <c r="G175" s="84"/>
      <c r="H175" s="86" t="s">
        <v>352</v>
      </c>
      <c r="I175" s="87" t="s">
        <v>353</v>
      </c>
      <c r="J175" s="85" t="str">
        <f>E229</f>
        <v/>
      </c>
      <c r="K175" s="85" t="str">
        <f>F229</f>
        <v/>
      </c>
    </row>
    <row r="176" spans="1:11">
      <c r="A176" s="873"/>
      <c r="B176" s="1059"/>
      <c r="C176" s="83" t="s">
        <v>22</v>
      </c>
      <c r="D176" s="82" t="s">
        <v>92</v>
      </c>
      <c r="E176" s="85" t="str">
        <f>NT!K24</f>
        <v/>
      </c>
      <c r="F176" s="85">
        <f>NT!L24</f>
        <v>4.92</v>
      </c>
      <c r="G176" s="84"/>
      <c r="H176" s="86" t="s">
        <v>354</v>
      </c>
      <c r="I176" s="87" t="s">
        <v>355</v>
      </c>
      <c r="J176" s="85" t="str">
        <f>E160</f>
        <v/>
      </c>
      <c r="K176" s="85" t="str">
        <f>F160</f>
        <v/>
      </c>
    </row>
    <row r="177" spans="1:11">
      <c r="A177" s="873"/>
      <c r="B177" s="1059"/>
      <c r="C177" s="83" t="s">
        <v>23</v>
      </c>
      <c r="D177" s="82" t="s">
        <v>93</v>
      </c>
      <c r="E177" s="85">
        <f>NT!K25</f>
        <v>194</v>
      </c>
      <c r="F177" s="85">
        <f>NT!L25</f>
        <v>126.18227</v>
      </c>
      <c r="G177" s="84"/>
      <c r="H177" s="86" t="s">
        <v>356</v>
      </c>
      <c r="I177" s="87" t="s">
        <v>357</v>
      </c>
      <c r="J177" s="85">
        <f>SUM(E219:E220,E222,E224)</f>
        <v>2569.2703570781164</v>
      </c>
      <c r="K177" s="85">
        <f>SUM(F219:F220,F222,F224)</f>
        <v>2571.0733570781163</v>
      </c>
    </row>
    <row r="178" spans="1:11">
      <c r="A178" s="873"/>
      <c r="B178" s="1059"/>
      <c r="C178" s="83" t="s">
        <v>24</v>
      </c>
      <c r="D178" s="82" t="s">
        <v>94</v>
      </c>
      <c r="E178" s="85" t="str">
        <f>NT!K26</f>
        <v/>
      </c>
      <c r="F178" s="85" t="str">
        <f>NT!L26</f>
        <v/>
      </c>
      <c r="G178" s="760" t="s">
        <v>427</v>
      </c>
      <c r="H178" s="93"/>
      <c r="I178" s="94" t="s">
        <v>407</v>
      </c>
      <c r="J178" s="95"/>
      <c r="K178" s="96"/>
    </row>
    <row r="179" spans="1:11">
      <c r="A179" s="873"/>
      <c r="B179" s="1059"/>
      <c r="C179" s="83" t="s">
        <v>25</v>
      </c>
      <c r="D179" s="82" t="s">
        <v>145</v>
      </c>
      <c r="E179" s="85" t="str">
        <f>NT!K27</f>
        <v/>
      </c>
      <c r="F179" s="85" t="str">
        <f>NT!L27</f>
        <v/>
      </c>
      <c r="G179" s="84"/>
      <c r="H179" s="86" t="s">
        <v>358</v>
      </c>
      <c r="I179" s="87" t="s">
        <v>84</v>
      </c>
      <c r="J179" s="85" t="str">
        <f>E165</f>
        <v/>
      </c>
      <c r="K179" s="85" t="str">
        <f>F165</f>
        <v/>
      </c>
    </row>
    <row r="180" spans="1:11">
      <c r="A180" s="873"/>
      <c r="B180" s="1059"/>
      <c r="C180" s="83" t="s">
        <v>146</v>
      </c>
      <c r="D180" s="82" t="s">
        <v>147</v>
      </c>
      <c r="E180" s="85" t="str">
        <f>NT!K28</f>
        <v/>
      </c>
      <c r="F180" s="85" t="str">
        <f>NT!L28</f>
        <v/>
      </c>
      <c r="G180" s="84"/>
      <c r="H180" s="86" t="s">
        <v>359</v>
      </c>
      <c r="I180" s="87" t="s">
        <v>90</v>
      </c>
      <c r="J180" s="85" t="str">
        <f>E171</f>
        <v/>
      </c>
      <c r="K180" s="85" t="str">
        <f>F171</f>
        <v/>
      </c>
    </row>
    <row r="181" spans="1:11">
      <c r="A181" s="873"/>
      <c r="B181" s="1059"/>
      <c r="C181" s="83" t="s">
        <v>148</v>
      </c>
      <c r="D181" s="82" t="s">
        <v>149</v>
      </c>
      <c r="E181" s="85" t="str">
        <f>NT!K29</f>
        <v/>
      </c>
      <c r="F181" s="85" t="str">
        <f>NT!L29</f>
        <v/>
      </c>
      <c r="G181" s="84"/>
      <c r="H181" s="86" t="s">
        <v>360</v>
      </c>
      <c r="I181" s="87" t="s">
        <v>361</v>
      </c>
      <c r="J181" s="85" t="str">
        <f>E169</f>
        <v/>
      </c>
      <c r="K181" s="85" t="str">
        <f>F169</f>
        <v/>
      </c>
    </row>
    <row r="182" spans="1:11">
      <c r="A182" s="873"/>
      <c r="B182" s="1059"/>
      <c r="C182" s="83" t="s">
        <v>26</v>
      </c>
      <c r="D182" s="82" t="s">
        <v>150</v>
      </c>
      <c r="E182" s="85" t="str">
        <f>NT!K30</f>
        <v/>
      </c>
      <c r="F182" s="85" t="str">
        <f>NT!L30</f>
        <v/>
      </c>
      <c r="G182" s="84"/>
      <c r="H182" s="86" t="s">
        <v>362</v>
      </c>
      <c r="I182" s="87" t="s">
        <v>91</v>
      </c>
      <c r="J182" s="85" t="str">
        <f>E174</f>
        <v/>
      </c>
      <c r="K182" s="85" t="str">
        <f>F174</f>
        <v/>
      </c>
    </row>
    <row r="183" spans="1:11">
      <c r="A183" s="873"/>
      <c r="B183" s="1059"/>
      <c r="C183" s="83" t="s">
        <v>27</v>
      </c>
      <c r="D183" s="82" t="s">
        <v>95</v>
      </c>
      <c r="E183" s="85">
        <f>NT!K31</f>
        <v>24</v>
      </c>
      <c r="F183" s="85">
        <f>NT!L31</f>
        <v>5.65</v>
      </c>
      <c r="G183" s="84"/>
      <c r="H183" s="86" t="s">
        <v>363</v>
      </c>
      <c r="I183" s="87" t="s">
        <v>94</v>
      </c>
      <c r="J183" s="85" t="str">
        <f>E178</f>
        <v/>
      </c>
      <c r="K183" s="85" t="str">
        <f>F178</f>
        <v/>
      </c>
    </row>
    <row r="184" spans="1:11">
      <c r="A184" s="873"/>
      <c r="B184" s="1059"/>
      <c r="C184" s="83" t="s">
        <v>28</v>
      </c>
      <c r="D184" s="82" t="s">
        <v>96</v>
      </c>
      <c r="E184" s="85" t="str">
        <f>NT!K32</f>
        <v/>
      </c>
      <c r="F184" s="85" t="str">
        <f>NT!L32</f>
        <v/>
      </c>
      <c r="G184" s="84"/>
      <c r="H184" s="86" t="s">
        <v>364</v>
      </c>
      <c r="I184" s="87" t="s">
        <v>87</v>
      </c>
      <c r="J184" s="85" t="str">
        <f>E168</f>
        <v/>
      </c>
      <c r="K184" s="85" t="str">
        <f>F168</f>
        <v/>
      </c>
    </row>
    <row r="185" spans="1:11">
      <c r="A185" s="873"/>
      <c r="B185" s="1059"/>
      <c r="C185" s="83" t="s">
        <v>29</v>
      </c>
      <c r="D185" s="82" t="s">
        <v>97</v>
      </c>
      <c r="E185" s="85" t="str">
        <f>NT!K33</f>
        <v/>
      </c>
      <c r="F185" s="85" t="str">
        <f>NT!L33</f>
        <v/>
      </c>
      <c r="G185" s="84"/>
      <c r="H185" s="86" t="s">
        <v>365</v>
      </c>
      <c r="I185" s="87" t="s">
        <v>145</v>
      </c>
      <c r="J185" s="85" t="str">
        <f>E179</f>
        <v/>
      </c>
      <c r="K185" s="85" t="str">
        <f>F179</f>
        <v/>
      </c>
    </row>
    <row r="186" spans="1:11">
      <c r="A186" s="873"/>
      <c r="B186" s="1059"/>
      <c r="C186" s="83" t="s">
        <v>99</v>
      </c>
      <c r="D186" s="82" t="s">
        <v>98</v>
      </c>
      <c r="E186" s="85" t="str">
        <f>NT!K34</f>
        <v/>
      </c>
      <c r="F186" s="85" t="str">
        <f>NT!L34</f>
        <v/>
      </c>
      <c r="G186" s="84"/>
      <c r="H186" s="86" t="s">
        <v>366</v>
      </c>
      <c r="I186" s="87" t="s">
        <v>89</v>
      </c>
      <c r="J186" s="85" t="str">
        <f>E170</f>
        <v/>
      </c>
      <c r="K186" s="85" t="str">
        <f>F170</f>
        <v/>
      </c>
    </row>
    <row r="187" spans="1:11">
      <c r="A187" s="873"/>
      <c r="B187" s="1059"/>
      <c r="C187" s="83" t="s">
        <v>101</v>
      </c>
      <c r="D187" s="82" t="s">
        <v>100</v>
      </c>
      <c r="E187" s="85" t="str">
        <f>NT!K35</f>
        <v/>
      </c>
      <c r="F187" s="85" t="str">
        <f>NT!L35</f>
        <v/>
      </c>
      <c r="G187" s="84"/>
      <c r="H187" s="86" t="s">
        <v>367</v>
      </c>
      <c r="I187" s="87" t="s">
        <v>141</v>
      </c>
      <c r="J187" s="85" t="str">
        <f>E172</f>
        <v/>
      </c>
      <c r="K187" s="85" t="str">
        <f>F172</f>
        <v/>
      </c>
    </row>
    <row r="188" spans="1:11">
      <c r="A188" s="874"/>
      <c r="B188" s="1060"/>
      <c r="C188" s="83" t="s">
        <v>30</v>
      </c>
      <c r="D188" s="82" t="s">
        <v>151</v>
      </c>
      <c r="E188" s="85" t="str">
        <f>NT!K36</f>
        <v/>
      </c>
      <c r="F188" s="85" t="str">
        <f>NT!L36</f>
        <v/>
      </c>
      <c r="G188" s="84"/>
      <c r="H188" s="86" t="s">
        <v>368</v>
      </c>
      <c r="I188" s="87" t="s">
        <v>147</v>
      </c>
      <c r="J188" s="85" t="str">
        <f>E180</f>
        <v/>
      </c>
      <c r="K188" s="85" t="str">
        <f>F180</f>
        <v/>
      </c>
    </row>
    <row r="189" spans="1:11">
      <c r="A189" s="90" t="s">
        <v>31</v>
      </c>
      <c r="B189" s="761" t="s">
        <v>32</v>
      </c>
      <c r="C189" s="83" t="s">
        <v>33</v>
      </c>
      <c r="D189" s="82" t="s">
        <v>102</v>
      </c>
      <c r="E189" s="85" t="str">
        <f>NT!K37</f>
        <v/>
      </c>
      <c r="F189" s="85" t="str">
        <f>NT!L37</f>
        <v/>
      </c>
      <c r="G189" s="84"/>
      <c r="H189" s="86" t="s">
        <v>369</v>
      </c>
      <c r="I189" s="87" t="s">
        <v>86</v>
      </c>
      <c r="J189" s="85">
        <f>E167</f>
        <v>4.5</v>
      </c>
      <c r="K189" s="85">
        <f>F167</f>
        <v>12</v>
      </c>
    </row>
    <row r="190" spans="1:11" ht="12.75" customHeight="1">
      <c r="A190" s="872" t="s">
        <v>34</v>
      </c>
      <c r="B190" s="1058" t="s">
        <v>152</v>
      </c>
      <c r="C190" s="83" t="s">
        <v>35</v>
      </c>
      <c r="D190" s="82" t="s">
        <v>103</v>
      </c>
      <c r="E190" s="85">
        <f>NT!K38</f>
        <v>24.811</v>
      </c>
      <c r="F190" s="85">
        <f>NT!L38</f>
        <v>21.690999999999999</v>
      </c>
      <c r="G190" s="84"/>
      <c r="H190" s="86" t="s">
        <v>370</v>
      </c>
      <c r="I190" s="87" t="s">
        <v>143</v>
      </c>
      <c r="J190" s="85" t="str">
        <f>E173</f>
        <v/>
      </c>
      <c r="K190" s="85" t="str">
        <f>F173</f>
        <v/>
      </c>
    </row>
    <row r="191" spans="1:11">
      <c r="A191" s="874"/>
      <c r="B191" s="1060"/>
      <c r="C191" s="83" t="s">
        <v>105</v>
      </c>
      <c r="D191" s="82" t="s">
        <v>104</v>
      </c>
      <c r="E191" s="85">
        <f>NT!K39</f>
        <v>1</v>
      </c>
      <c r="F191" s="85" t="str">
        <f>NT!L39</f>
        <v/>
      </c>
      <c r="G191" s="84"/>
      <c r="H191" s="86" t="s">
        <v>371</v>
      </c>
      <c r="I191" s="87" t="s">
        <v>93</v>
      </c>
      <c r="J191" s="85">
        <f>E177</f>
        <v>194</v>
      </c>
      <c r="K191" s="85">
        <f>F177</f>
        <v>126.18227</v>
      </c>
    </row>
    <row r="192" spans="1:11">
      <c r="A192" s="872" t="s">
        <v>37</v>
      </c>
      <c r="B192" s="1058" t="s">
        <v>153</v>
      </c>
      <c r="C192" s="83" t="s">
        <v>38</v>
      </c>
      <c r="D192" s="82" t="s">
        <v>106</v>
      </c>
      <c r="E192" s="85" t="str">
        <f>NT!K40</f>
        <v/>
      </c>
      <c r="F192" s="85" t="str">
        <f>NT!L40</f>
        <v/>
      </c>
      <c r="G192" s="84"/>
      <c r="H192" s="86" t="s">
        <v>372</v>
      </c>
      <c r="I192" s="87" t="s">
        <v>85</v>
      </c>
      <c r="J192" s="85" t="str">
        <f>E166</f>
        <v/>
      </c>
      <c r="K192" s="85" t="str">
        <f>F166</f>
        <v/>
      </c>
    </row>
    <row r="193" spans="1:11">
      <c r="A193" s="873"/>
      <c r="B193" s="1059"/>
      <c r="C193" s="83" t="s">
        <v>39</v>
      </c>
      <c r="D193" s="82" t="s">
        <v>107</v>
      </c>
      <c r="E193" s="85" t="str">
        <f>NT!K41</f>
        <v/>
      </c>
      <c r="F193" s="85" t="str">
        <f>NT!L41</f>
        <v/>
      </c>
      <c r="G193" s="84"/>
      <c r="H193" s="86" t="s">
        <v>373</v>
      </c>
      <c r="I193" s="87" t="s">
        <v>374</v>
      </c>
      <c r="J193" s="85" t="str">
        <f t="shared" ref="J193:J195" si="23">E162</f>
        <v/>
      </c>
      <c r="K193" s="85" t="str">
        <f t="shared" ref="K193:K195" si="24">F162</f>
        <v/>
      </c>
    </row>
    <row r="194" spans="1:11">
      <c r="A194" s="873"/>
      <c r="B194" s="1059"/>
      <c r="C194" s="83" t="s">
        <v>40</v>
      </c>
      <c r="D194" s="82" t="s">
        <v>108</v>
      </c>
      <c r="E194" s="85" t="str">
        <f>NT!K42</f>
        <v/>
      </c>
      <c r="F194" s="85" t="str">
        <f>NT!L42</f>
        <v/>
      </c>
      <c r="G194" s="84"/>
      <c r="H194" s="86" t="s">
        <v>375</v>
      </c>
      <c r="I194" s="87" t="s">
        <v>82</v>
      </c>
      <c r="J194" s="85">
        <f t="shared" si="23"/>
        <v>50</v>
      </c>
      <c r="K194" s="85">
        <f t="shared" si="24"/>
        <v>1E-3</v>
      </c>
    </row>
    <row r="195" spans="1:11">
      <c r="A195" s="874"/>
      <c r="B195" s="1060"/>
      <c r="C195" s="83" t="s">
        <v>41</v>
      </c>
      <c r="D195" s="82" t="s">
        <v>109</v>
      </c>
      <c r="E195" s="85" t="str">
        <f>NT!K43</f>
        <v/>
      </c>
      <c r="F195" s="85" t="str">
        <f>NT!L43</f>
        <v/>
      </c>
      <c r="G195" s="84"/>
      <c r="H195" s="86" t="s">
        <v>376</v>
      </c>
      <c r="I195" s="87" t="s">
        <v>83</v>
      </c>
      <c r="J195" s="85">
        <f t="shared" si="23"/>
        <v>19.439</v>
      </c>
      <c r="K195" s="85">
        <f t="shared" si="24"/>
        <v>104</v>
      </c>
    </row>
    <row r="196" spans="1:11">
      <c r="A196" s="872" t="s">
        <v>42</v>
      </c>
      <c r="B196" s="1058" t="s">
        <v>154</v>
      </c>
      <c r="C196" s="83" t="s">
        <v>43</v>
      </c>
      <c r="D196" s="82" t="s">
        <v>110</v>
      </c>
      <c r="E196" s="85" t="str">
        <f>NT!K44</f>
        <v/>
      </c>
      <c r="F196" s="85">
        <f>NT!L44</f>
        <v>0.06</v>
      </c>
      <c r="G196" s="84"/>
      <c r="H196" s="86" t="s">
        <v>377</v>
      </c>
      <c r="I196" s="87" t="s">
        <v>378</v>
      </c>
      <c r="J196" s="85" t="str">
        <f>E223</f>
        <v/>
      </c>
      <c r="K196" s="85" t="str">
        <f>F223</f>
        <v/>
      </c>
    </row>
    <row r="197" spans="1:11">
      <c r="A197" s="873"/>
      <c r="B197" s="1059"/>
      <c r="C197" s="83" t="s">
        <v>44</v>
      </c>
      <c r="D197" s="82" t="s">
        <v>111</v>
      </c>
      <c r="E197" s="85" t="str">
        <f>NT!K45</f>
        <v/>
      </c>
      <c r="F197" s="85" t="str">
        <f>NT!L45</f>
        <v/>
      </c>
      <c r="G197" s="760" t="str">
        <f>G178</f>
        <v>NT</v>
      </c>
      <c r="H197" s="86" t="s">
        <v>379</v>
      </c>
      <c r="I197" s="87" t="s">
        <v>176</v>
      </c>
      <c r="J197" s="85" t="str">
        <f>E197</f>
        <v/>
      </c>
      <c r="K197" s="85" t="str">
        <f>F197</f>
        <v/>
      </c>
    </row>
    <row r="198" spans="1:11">
      <c r="A198" s="874"/>
      <c r="B198" s="1060"/>
      <c r="C198" s="83" t="s">
        <v>45</v>
      </c>
      <c r="D198" s="82" t="s">
        <v>155</v>
      </c>
      <c r="E198" s="85" t="str">
        <f>NT!K46</f>
        <v/>
      </c>
      <c r="F198" s="85" t="str">
        <f>NT!L46</f>
        <v/>
      </c>
      <c r="G198" s="84"/>
      <c r="H198" s="86" t="s">
        <v>380</v>
      </c>
      <c r="I198" s="87" t="s">
        <v>381</v>
      </c>
      <c r="J198" s="85" t="str">
        <f>E211</f>
        <v/>
      </c>
      <c r="K198" s="85" t="str">
        <f>F211</f>
        <v/>
      </c>
    </row>
    <row r="199" spans="1:11">
      <c r="A199" s="872" t="s">
        <v>46</v>
      </c>
      <c r="B199" s="1058" t="s">
        <v>156</v>
      </c>
      <c r="C199" s="83" t="s">
        <v>47</v>
      </c>
      <c r="D199" s="82" t="s">
        <v>112</v>
      </c>
      <c r="E199" s="85">
        <f>NT!K47</f>
        <v>2019.6373599999999</v>
      </c>
      <c r="F199" s="85">
        <f>NT!L47</f>
        <v>1203.2172</v>
      </c>
      <c r="G199" s="84"/>
      <c r="H199" s="86" t="s">
        <v>382</v>
      </c>
      <c r="I199" s="87" t="s">
        <v>383</v>
      </c>
      <c r="J199" s="85" t="str">
        <f>E207</f>
        <v/>
      </c>
      <c r="K199" s="85" t="str">
        <f>F207</f>
        <v/>
      </c>
    </row>
    <row r="200" spans="1:11">
      <c r="A200" s="873"/>
      <c r="B200" s="1059"/>
      <c r="C200" s="83" t="s">
        <v>48</v>
      </c>
      <c r="D200" s="82" t="s">
        <v>157</v>
      </c>
      <c r="E200" s="85">
        <f>NT!K48</f>
        <v>1089.405</v>
      </c>
      <c r="F200" s="85">
        <f>NT!L48</f>
        <v>2157.2600000000002</v>
      </c>
      <c r="G200" s="84"/>
      <c r="H200" s="86" t="s">
        <v>384</v>
      </c>
      <c r="I200" s="87" t="s">
        <v>106</v>
      </c>
      <c r="J200" s="85" t="str">
        <f>E192</f>
        <v/>
      </c>
      <c r="K200" s="85" t="str">
        <f>F192</f>
        <v/>
      </c>
    </row>
    <row r="201" spans="1:11">
      <c r="A201" s="874"/>
      <c r="B201" s="1060"/>
      <c r="C201" s="83" t="s">
        <v>49</v>
      </c>
      <c r="D201" s="82" t="s">
        <v>158</v>
      </c>
      <c r="E201" s="85" t="str">
        <f>NT!K49</f>
        <v/>
      </c>
      <c r="F201" s="85" t="str">
        <f>NT!L49</f>
        <v/>
      </c>
      <c r="G201" s="84"/>
      <c r="H201" s="86" t="s">
        <v>385</v>
      </c>
      <c r="I201" s="87" t="s">
        <v>108</v>
      </c>
      <c r="J201" s="85" t="str">
        <f>E194</f>
        <v/>
      </c>
      <c r="K201" s="85" t="str">
        <f>F194</f>
        <v/>
      </c>
    </row>
    <row r="202" spans="1:11">
      <c r="A202" s="872" t="s">
        <v>50</v>
      </c>
      <c r="B202" s="1058" t="s">
        <v>159</v>
      </c>
      <c r="C202" s="83" t="s">
        <v>51</v>
      </c>
      <c r="D202" s="82" t="s">
        <v>113</v>
      </c>
      <c r="E202" s="99">
        <f>'Gap data'!$C175*'Gap data'!D$12/1000000</f>
        <v>1648.3680403044605</v>
      </c>
      <c r="F202" s="99">
        <f>'Gap data'!$C175*'Gap data'!D$13/1000000</f>
        <v>1655.8527853591868</v>
      </c>
      <c r="G202" s="84"/>
      <c r="H202" s="86" t="s">
        <v>386</v>
      </c>
      <c r="I202" s="87" t="s">
        <v>107</v>
      </c>
      <c r="J202" s="85" t="str">
        <f>E193</f>
        <v/>
      </c>
      <c r="K202" s="85" t="str">
        <f>F193</f>
        <v/>
      </c>
    </row>
    <row r="203" spans="1:11">
      <c r="A203" s="873"/>
      <c r="B203" s="1059"/>
      <c r="C203" s="83" t="s">
        <v>115</v>
      </c>
      <c r="D203" s="82" t="s">
        <v>114</v>
      </c>
      <c r="E203" s="99">
        <f>'Gap data'!$C176*'Gap data'!D$12/1000000</f>
        <v>2686.5501886754214</v>
      </c>
      <c r="F203" s="99">
        <f>'Gap data'!$C176*'Gap data'!D$13/1000000</f>
        <v>2698.749007596497</v>
      </c>
      <c r="G203" s="84"/>
      <c r="H203" s="86" t="s">
        <v>387</v>
      </c>
      <c r="I203" s="87" t="s">
        <v>388</v>
      </c>
      <c r="J203" s="85" t="str">
        <f t="shared" ref="J203:J204" si="25">E209</f>
        <v/>
      </c>
      <c r="K203" s="85" t="str">
        <f t="shared" ref="K203:K204" si="26">F209</f>
        <v/>
      </c>
    </row>
    <row r="204" spans="1:11">
      <c r="A204" s="873"/>
      <c r="B204" s="1059"/>
      <c r="C204" s="83" t="s">
        <v>52</v>
      </c>
      <c r="D204" s="82" t="s">
        <v>116</v>
      </c>
      <c r="E204" s="85" t="str">
        <f>NT!K52</f>
        <v/>
      </c>
      <c r="F204" s="85" t="str">
        <f>NT!L52</f>
        <v/>
      </c>
      <c r="G204" s="84"/>
      <c r="H204" s="86" t="s">
        <v>389</v>
      </c>
      <c r="I204" s="87" t="s">
        <v>390</v>
      </c>
      <c r="J204" s="85" t="str">
        <f t="shared" si="25"/>
        <v/>
      </c>
      <c r="K204" s="85" t="str">
        <f t="shared" si="26"/>
        <v/>
      </c>
    </row>
    <row r="205" spans="1:11">
      <c r="A205" s="874"/>
      <c r="B205" s="1060"/>
      <c r="C205" s="83" t="s">
        <v>118</v>
      </c>
      <c r="D205" s="82" t="s">
        <v>117</v>
      </c>
      <c r="E205" s="85" t="str">
        <f>NT!K53</f>
        <v/>
      </c>
      <c r="F205" s="85" t="str">
        <f>NT!L53</f>
        <v/>
      </c>
      <c r="G205" s="84"/>
      <c r="H205" s="86" t="s">
        <v>391</v>
      </c>
      <c r="I205" s="87" t="s">
        <v>392</v>
      </c>
      <c r="J205" s="85" t="str">
        <f>E208</f>
        <v/>
      </c>
      <c r="K205" s="85" t="str">
        <f>F208</f>
        <v/>
      </c>
    </row>
    <row r="206" spans="1:11">
      <c r="A206" s="872" t="s">
        <v>53</v>
      </c>
      <c r="B206" s="1058" t="s">
        <v>54</v>
      </c>
      <c r="C206" s="83" t="s">
        <v>55</v>
      </c>
      <c r="D206" s="82" t="s">
        <v>160</v>
      </c>
      <c r="E206" s="85">
        <f>NT!K54</f>
        <v>4</v>
      </c>
      <c r="F206" s="85">
        <f>NT!L54</f>
        <v>2.64</v>
      </c>
      <c r="G206" s="84"/>
      <c r="H206" s="93"/>
      <c r="I206" s="94" t="s">
        <v>405</v>
      </c>
      <c r="J206" s="95"/>
      <c r="K206" s="96"/>
    </row>
    <row r="207" spans="1:11">
      <c r="A207" s="873"/>
      <c r="B207" s="1059"/>
      <c r="C207" s="83" t="s">
        <v>56</v>
      </c>
      <c r="D207" s="82" t="s">
        <v>161</v>
      </c>
      <c r="E207" s="85" t="str">
        <f>NT!K55</f>
        <v/>
      </c>
      <c r="F207" s="85" t="str">
        <f>NT!L55</f>
        <v/>
      </c>
      <c r="G207" s="84"/>
      <c r="H207" s="86" t="s">
        <v>393</v>
      </c>
      <c r="I207" s="87" t="s">
        <v>394</v>
      </c>
      <c r="J207" s="99">
        <f>'Gap data'!$B$23*'Gap data'!D12</f>
        <v>70615.984545505067</v>
      </c>
      <c r="K207" s="99">
        <f>'Gap data'!$B$23*'Gap data'!D13</f>
        <v>70936.630559130746</v>
      </c>
    </row>
    <row r="208" spans="1:11">
      <c r="A208" s="873"/>
      <c r="B208" s="1059"/>
      <c r="C208" s="83" t="s">
        <v>57</v>
      </c>
      <c r="D208" s="82" t="s">
        <v>162</v>
      </c>
      <c r="E208" s="85" t="str">
        <f>NT!K56</f>
        <v/>
      </c>
      <c r="F208" s="85" t="str">
        <f>NT!L56</f>
        <v/>
      </c>
      <c r="G208" s="84"/>
      <c r="H208" s="86" t="s">
        <v>395</v>
      </c>
      <c r="I208" s="87" t="s">
        <v>396</v>
      </c>
      <c r="J208" s="762">
        <v>0</v>
      </c>
      <c r="K208" s="762">
        <v>0</v>
      </c>
    </row>
    <row r="209" spans="1:11">
      <c r="A209" s="873"/>
      <c r="B209" s="1059"/>
      <c r="C209" s="83" t="s">
        <v>120</v>
      </c>
      <c r="D209" s="82" t="s">
        <v>119</v>
      </c>
      <c r="E209" s="85" t="str">
        <f>NT!K57</f>
        <v/>
      </c>
      <c r="F209" s="85" t="str">
        <f>NT!L57</f>
        <v/>
      </c>
      <c r="G209" s="84"/>
      <c r="H209" s="100"/>
      <c r="I209" s="101" t="s">
        <v>408</v>
      </c>
      <c r="J209" s="102"/>
      <c r="K209" s="103"/>
    </row>
    <row r="210" spans="1:11">
      <c r="A210" s="873"/>
      <c r="B210" s="1059"/>
      <c r="C210" s="83" t="s">
        <v>122</v>
      </c>
      <c r="D210" s="82" t="s">
        <v>121</v>
      </c>
      <c r="E210" s="85" t="str">
        <f>NT!K58</f>
        <v/>
      </c>
      <c r="F210" s="85" t="str">
        <f>NT!L58</f>
        <v/>
      </c>
      <c r="G210" s="84"/>
      <c r="H210" s="89">
        <v>1</v>
      </c>
      <c r="I210" s="104" t="s">
        <v>397</v>
      </c>
      <c r="J210" s="85">
        <f>SUM(E175:E176,E181:E182)</f>
        <v>0</v>
      </c>
      <c r="K210" s="85">
        <f>SUM(F175:F176,F181:F182)</f>
        <v>4.92</v>
      </c>
    </row>
    <row r="211" spans="1:11">
      <c r="A211" s="873"/>
      <c r="B211" s="1059"/>
      <c r="C211" s="83" t="s">
        <v>124</v>
      </c>
      <c r="D211" s="82" t="s">
        <v>123</v>
      </c>
      <c r="E211" s="85" t="str">
        <f>NT!K59</f>
        <v/>
      </c>
      <c r="F211" s="85" t="str">
        <f>NT!L59</f>
        <v/>
      </c>
      <c r="G211" s="84"/>
      <c r="H211" s="89">
        <v>2</v>
      </c>
      <c r="I211" s="104" t="s">
        <v>398</v>
      </c>
      <c r="J211" s="85">
        <f>SUM(E183:E185,E188)</f>
        <v>24</v>
      </c>
      <c r="K211" s="85">
        <f>SUM(F183:F185,F188)</f>
        <v>5.65</v>
      </c>
    </row>
    <row r="212" spans="1:11">
      <c r="A212" s="873"/>
      <c r="B212" s="1059"/>
      <c r="C212" s="83" t="s">
        <v>58</v>
      </c>
      <c r="D212" s="82" t="s">
        <v>136</v>
      </c>
      <c r="E212" s="85" t="str">
        <f>NT!K60</f>
        <v/>
      </c>
      <c r="F212" s="85" t="str">
        <f>NT!L60</f>
        <v/>
      </c>
      <c r="G212" s="84"/>
      <c r="H212" s="89">
        <v>3</v>
      </c>
      <c r="I212" s="104" t="s">
        <v>323</v>
      </c>
      <c r="J212" s="85">
        <f>SUM(E212:E215)</f>
        <v>0</v>
      </c>
      <c r="K212" s="85">
        <f>SUM(F212:F215)</f>
        <v>0</v>
      </c>
    </row>
    <row r="213" spans="1:11">
      <c r="A213" s="873"/>
      <c r="B213" s="1059"/>
      <c r="C213" s="83" t="s">
        <v>59</v>
      </c>
      <c r="D213" s="82" t="s">
        <v>125</v>
      </c>
      <c r="E213" s="85" t="str">
        <f>NT!K61</f>
        <v/>
      </c>
      <c r="F213" s="85" t="str">
        <f>NT!L61</f>
        <v/>
      </c>
      <c r="G213" s="84"/>
      <c r="H213" s="89">
        <v>4</v>
      </c>
      <c r="I213" s="104" t="s">
        <v>159</v>
      </c>
      <c r="J213" s="85">
        <f t="shared" ref="J213" si="27">SUM(E202:E205)</f>
        <v>4334.9182289798819</v>
      </c>
      <c r="K213" s="85">
        <f t="shared" ref="K213" si="28">SUM(F202:F205)</f>
        <v>4354.6017929556838</v>
      </c>
    </row>
    <row r="214" spans="1:11">
      <c r="A214" s="873"/>
      <c r="B214" s="1059"/>
      <c r="C214" s="83" t="s">
        <v>60</v>
      </c>
      <c r="D214" s="82" t="s">
        <v>163</v>
      </c>
      <c r="E214" s="85" t="str">
        <f>NT!K62</f>
        <v/>
      </c>
      <c r="F214" s="85" t="str">
        <f>NT!L62</f>
        <v/>
      </c>
      <c r="G214" s="84"/>
      <c r="H214" s="89">
        <v>5</v>
      </c>
      <c r="I214" s="82" t="s">
        <v>399</v>
      </c>
      <c r="J214" s="85">
        <f>E216</f>
        <v>4</v>
      </c>
      <c r="K214" s="85">
        <f>F216</f>
        <v>10.56</v>
      </c>
    </row>
    <row r="215" spans="1:11">
      <c r="A215" s="874"/>
      <c r="B215" s="1060"/>
      <c r="C215" s="83" t="s">
        <v>61</v>
      </c>
      <c r="D215" s="82" t="s">
        <v>126</v>
      </c>
      <c r="E215" s="85" t="str">
        <f>NT!K63</f>
        <v/>
      </c>
      <c r="F215" s="85" t="str">
        <f>NT!L63</f>
        <v/>
      </c>
      <c r="G215" s="84"/>
      <c r="H215" s="89">
        <v>6</v>
      </c>
      <c r="I215" s="105" t="s">
        <v>462</v>
      </c>
      <c r="J215" s="763">
        <f t="shared" ref="J215" si="29">E217</f>
        <v>5813.0603577374559</v>
      </c>
      <c r="K215" s="763">
        <f t="shared" ref="K215" si="30">F217</f>
        <v>5839.4557219410508</v>
      </c>
    </row>
    <row r="216" spans="1:11">
      <c r="A216" s="872" t="s">
        <v>62</v>
      </c>
      <c r="B216" s="1058" t="s">
        <v>164</v>
      </c>
      <c r="C216" s="83" t="s">
        <v>63</v>
      </c>
      <c r="D216" s="82" t="s">
        <v>165</v>
      </c>
      <c r="E216" s="85">
        <f>NT!K64</f>
        <v>4</v>
      </c>
      <c r="F216" s="85">
        <f>NT!L64</f>
        <v>10.56</v>
      </c>
      <c r="H216" s="89">
        <v>7</v>
      </c>
      <c r="I216" s="105" t="s">
        <v>463</v>
      </c>
      <c r="J216" s="763">
        <f>SUM(E218,E221)</f>
        <v>0</v>
      </c>
      <c r="K216" s="763">
        <f>SUM(F218,F221)</f>
        <v>0</v>
      </c>
    </row>
    <row r="217" spans="1:11">
      <c r="A217" s="873"/>
      <c r="B217" s="1059"/>
      <c r="C217" s="83" t="s">
        <v>64</v>
      </c>
      <c r="D217" s="82" t="s">
        <v>127</v>
      </c>
      <c r="E217" s="99">
        <f>'Gap data'!$C190*'Gap data'!D$12/1000000</f>
        <v>5813.0603577374559</v>
      </c>
      <c r="F217" s="99">
        <f>'Gap data'!$C190*'Gap data'!D$13/1000000</f>
        <v>5839.4557219410508</v>
      </c>
      <c r="G217" s="760" t="str">
        <f>G197</f>
        <v>NT</v>
      </c>
      <c r="H217" s="89">
        <v>8</v>
      </c>
      <c r="I217" s="104" t="s">
        <v>133</v>
      </c>
      <c r="J217" s="85">
        <f>E230</f>
        <v>2488.5</v>
      </c>
      <c r="K217" s="85">
        <f>F230</f>
        <v>2488.5</v>
      </c>
    </row>
    <row r="218" spans="1:11">
      <c r="A218" s="873"/>
      <c r="B218" s="1059"/>
      <c r="C218" s="83" t="s">
        <v>65</v>
      </c>
      <c r="D218" s="82" t="s">
        <v>166</v>
      </c>
      <c r="E218" s="85" t="str">
        <f>NT!K66</f>
        <v/>
      </c>
      <c r="F218" s="85" t="str">
        <f>NT!L66</f>
        <v/>
      </c>
      <c r="G218" s="106"/>
      <c r="H218" s="107"/>
    </row>
    <row r="219" spans="1:11">
      <c r="A219" s="873"/>
      <c r="B219" s="1059"/>
      <c r="C219" s="83" t="s">
        <v>66</v>
      </c>
      <c r="D219" s="82" t="s">
        <v>173</v>
      </c>
      <c r="E219" s="85" t="str">
        <f>NT!K67</f>
        <v/>
      </c>
      <c r="F219" s="85" t="str">
        <f>NT!L67</f>
        <v/>
      </c>
      <c r="G219" s="106"/>
      <c r="H219" s="107"/>
    </row>
    <row r="220" spans="1:11">
      <c r="A220" s="873"/>
      <c r="B220" s="1059"/>
      <c r="C220" s="83" t="s">
        <v>67</v>
      </c>
      <c r="D220" s="82" t="s">
        <v>174</v>
      </c>
      <c r="E220" s="85" t="str">
        <f>NT!K68</f>
        <v/>
      </c>
      <c r="F220" s="85">
        <f>NT!L68</f>
        <v>1.8029999999999999</v>
      </c>
      <c r="G220" s="106"/>
      <c r="H220" s="107"/>
    </row>
    <row r="221" spans="1:11">
      <c r="A221" s="873"/>
      <c r="B221" s="1059"/>
      <c r="C221" s="83" t="s">
        <v>68</v>
      </c>
      <c r="D221" s="82" t="s">
        <v>175</v>
      </c>
      <c r="E221" s="85" t="str">
        <f>NT!K69</f>
        <v/>
      </c>
      <c r="F221" s="85" t="str">
        <f>NT!L69</f>
        <v/>
      </c>
      <c r="G221" s="106"/>
      <c r="H221" s="107"/>
    </row>
    <row r="222" spans="1:11">
      <c r="A222" s="873"/>
      <c r="B222" s="1059"/>
      <c r="C222" s="83" t="s">
        <v>128</v>
      </c>
      <c r="D222" s="82" t="s">
        <v>167</v>
      </c>
      <c r="E222" s="108">
        <f>IF(ISNUMBER(NT!K70),NT!K70,0)+'Gap data'!$D$35</f>
        <v>2569.2703570781164</v>
      </c>
      <c r="F222" s="108">
        <f>IF(ISNUMBER(NT!L70),NT!L70,0)+'Gap data'!$D$35</f>
        <v>2569.2703570781164</v>
      </c>
      <c r="G222" s="106"/>
      <c r="H222" s="107"/>
    </row>
    <row r="223" spans="1:11">
      <c r="A223" s="873"/>
      <c r="B223" s="1059"/>
      <c r="C223" s="83" t="s">
        <v>69</v>
      </c>
      <c r="D223" s="82" t="s">
        <v>129</v>
      </c>
      <c r="E223" s="85" t="str">
        <f>NT!K71</f>
        <v/>
      </c>
      <c r="F223" s="85" t="str">
        <f>NT!L71</f>
        <v/>
      </c>
      <c r="G223" s="106"/>
      <c r="H223" s="107"/>
    </row>
    <row r="224" spans="1:11">
      <c r="A224" s="874"/>
      <c r="B224" s="1060"/>
      <c r="C224" s="83" t="s">
        <v>70</v>
      </c>
      <c r="D224" s="82" t="s">
        <v>168</v>
      </c>
      <c r="E224" s="85" t="str">
        <f>NT!K72</f>
        <v/>
      </c>
      <c r="F224" s="85" t="str">
        <f>NT!L72</f>
        <v/>
      </c>
      <c r="G224" s="106"/>
      <c r="H224" s="107"/>
    </row>
    <row r="225" spans="1:14">
      <c r="A225" s="872" t="s">
        <v>71</v>
      </c>
      <c r="B225" s="1058" t="s">
        <v>169</v>
      </c>
      <c r="C225" s="83" t="s">
        <v>72</v>
      </c>
      <c r="D225" s="82" t="s">
        <v>170</v>
      </c>
      <c r="E225" s="85">
        <f>NT!K73</f>
        <v>43.709000000000003</v>
      </c>
      <c r="F225" s="85">
        <f>NT!L73</f>
        <v>39.729399999999998</v>
      </c>
      <c r="G225" s="106"/>
      <c r="H225" s="107"/>
    </row>
    <row r="226" spans="1:14">
      <c r="A226" s="873"/>
      <c r="B226" s="1059"/>
      <c r="C226" s="83" t="s">
        <v>73</v>
      </c>
      <c r="D226" s="82" t="s">
        <v>130</v>
      </c>
      <c r="E226" s="85">
        <f>NT!K74</f>
        <v>11</v>
      </c>
      <c r="F226" s="85" t="str">
        <f>NT!L74</f>
        <v/>
      </c>
      <c r="G226" s="106"/>
      <c r="H226" s="107"/>
    </row>
    <row r="227" spans="1:14">
      <c r="A227" s="874"/>
      <c r="B227" s="1060"/>
      <c r="C227" s="83" t="s">
        <v>74</v>
      </c>
      <c r="D227" s="82" t="s">
        <v>131</v>
      </c>
      <c r="E227" s="85" t="str">
        <f>NT!K75</f>
        <v/>
      </c>
      <c r="F227" s="85" t="str">
        <f>NT!L75</f>
        <v/>
      </c>
      <c r="G227" s="106"/>
      <c r="H227" s="107"/>
    </row>
    <row r="228" spans="1:14">
      <c r="A228" s="872" t="s">
        <v>75</v>
      </c>
      <c r="B228" s="1058" t="s">
        <v>76</v>
      </c>
      <c r="C228" s="83" t="s">
        <v>77</v>
      </c>
      <c r="D228" s="82" t="s">
        <v>171</v>
      </c>
      <c r="E228" s="85">
        <f>NT!K76</f>
        <v>1.35</v>
      </c>
      <c r="F228" s="85">
        <f>NT!L76</f>
        <v>26.24</v>
      </c>
      <c r="G228" s="106"/>
      <c r="H228" s="107"/>
    </row>
    <row r="229" spans="1:14">
      <c r="A229" s="873"/>
      <c r="B229" s="1059"/>
      <c r="C229" s="83" t="s">
        <v>78</v>
      </c>
      <c r="D229" s="82" t="s">
        <v>132</v>
      </c>
      <c r="E229" s="85" t="str">
        <f>NT!K77</f>
        <v/>
      </c>
      <c r="F229" s="85" t="str">
        <f>NT!L77</f>
        <v/>
      </c>
      <c r="G229" s="106"/>
      <c r="H229" s="107"/>
    </row>
    <row r="230" spans="1:14">
      <c r="A230" s="873"/>
      <c r="B230" s="1059"/>
      <c r="C230" s="83" t="s">
        <v>134</v>
      </c>
      <c r="D230" s="82" t="s">
        <v>133</v>
      </c>
      <c r="E230" s="99">
        <f>'Gap data'!$D$42</f>
        <v>2488.5</v>
      </c>
      <c r="F230" s="99">
        <f>'Gap data'!$D$42</f>
        <v>2488.5</v>
      </c>
      <c r="G230" s="106"/>
      <c r="H230" s="107"/>
    </row>
    <row r="231" spans="1:14">
      <c r="A231" s="874"/>
      <c r="B231" s="1060"/>
      <c r="C231" s="83" t="s">
        <v>172</v>
      </c>
      <c r="D231" s="82" t="s">
        <v>135</v>
      </c>
      <c r="E231" s="85" t="str">
        <f>NT!K79</f>
        <v/>
      </c>
      <c r="F231" s="85" t="str">
        <f>NT!L79</f>
        <v/>
      </c>
      <c r="G231" s="106"/>
      <c r="H231" s="107"/>
    </row>
    <row r="232" spans="1:14">
      <c r="G232" s="109"/>
      <c r="H232" s="107"/>
    </row>
    <row r="233" spans="1:14" s="625" customFormat="1" ht="15.75">
      <c r="A233" s="625" t="s">
        <v>627</v>
      </c>
      <c r="D233" s="758"/>
      <c r="G233" s="759"/>
      <c r="H233" s="625" t="str">
        <f>A233</f>
        <v>Adjusted Qld data</v>
      </c>
      <c r="I233" s="758"/>
    </row>
    <row r="235" spans="1:14">
      <c r="A235" s="872" t="s">
        <v>3</v>
      </c>
      <c r="B235" s="1055" t="s">
        <v>137</v>
      </c>
      <c r="C235" s="83" t="s">
        <v>4</v>
      </c>
      <c r="D235" s="104" t="s">
        <v>79</v>
      </c>
      <c r="E235" s="275">
        <f>IFERROR(IF(Qld!$C$3="Yes",Qld!K8,Qld!K8*(1-'Gap data'!$C57)),"")</f>
        <v>2857.58</v>
      </c>
      <c r="F235" s="275">
        <f>IFERROR(IF(Qld!$C$3="Yes",Qld!L8,Qld!L8*(1-'Gap data'!$C57)),"")</f>
        <v>3084.0380010000031</v>
      </c>
      <c r="G235" s="84"/>
      <c r="H235" s="86" t="s">
        <v>324</v>
      </c>
      <c r="I235" s="87" t="s">
        <v>325</v>
      </c>
      <c r="J235" s="29">
        <f t="shared" ref="J235:K235" si="31">E300</f>
        <v>13666.266768775475</v>
      </c>
      <c r="K235" s="29">
        <f t="shared" si="31"/>
        <v>12370.490843215635</v>
      </c>
      <c r="M235" s="767">
        <f>IFERROR(Qld!K8-E235,0)</f>
        <v>0</v>
      </c>
      <c r="N235" s="767">
        <f>IFERROR(Qld!L8-F235,0)</f>
        <v>0</v>
      </c>
    </row>
    <row r="236" spans="1:14">
      <c r="A236" s="873"/>
      <c r="B236" s="1056"/>
      <c r="C236" s="83" t="s">
        <v>138</v>
      </c>
      <c r="D236" s="104" t="s">
        <v>139</v>
      </c>
      <c r="E236" s="275">
        <f>IFERROR(IF(Qld!$C$3="Yes",Qld!K9,Qld!K9*(1-'Gap data'!$C58)),"")</f>
        <v>42.24</v>
      </c>
      <c r="F236" s="275">
        <f>IFERROR(IF(Qld!$C$3="Yes",Qld!L9,Qld!L9*(1-'Gap data'!$C58)),"")</f>
        <v>9.9999999999999995E-7</v>
      </c>
      <c r="G236" s="84"/>
      <c r="H236" s="86" t="s">
        <v>326</v>
      </c>
      <c r="I236" s="87" t="s">
        <v>327</v>
      </c>
      <c r="J236" s="29">
        <f t="shared" ref="J236:K236" si="32">E302</f>
        <v>17.515574883524572</v>
      </c>
      <c r="K236" s="29">
        <f t="shared" si="32"/>
        <v>333.50695108322913</v>
      </c>
      <c r="M236" s="767">
        <f>IFERROR(Qld!K9-E236,0)</f>
        <v>0</v>
      </c>
      <c r="N236" s="767">
        <f>IFERROR(Qld!L9-F236,0)</f>
        <v>0</v>
      </c>
    </row>
    <row r="237" spans="1:14">
      <c r="A237" s="874"/>
      <c r="B237" s="1057"/>
      <c r="C237" s="83" t="s">
        <v>81</v>
      </c>
      <c r="D237" s="104" t="s">
        <v>80</v>
      </c>
      <c r="E237" s="275">
        <f>IFERROR(IF(Qld!$C$3="Yes",Qld!K10,Qld!K10*(1-'Gap data'!$C59)),"")</f>
        <v>25.125317390377994</v>
      </c>
      <c r="F237" s="275">
        <f>IFERROR(IF(Qld!$C$3="Yes",Qld!L10,Qld!L10*(1-'Gap data'!$C59)),"")</f>
        <v>43.016261856192052</v>
      </c>
      <c r="G237" s="84"/>
      <c r="H237" s="86" t="s">
        <v>328</v>
      </c>
      <c r="I237" s="87" t="s">
        <v>130</v>
      </c>
      <c r="J237" s="29">
        <f t="shared" ref="J237:K237" si="33">E301</f>
        <v>755.68065786627301</v>
      </c>
      <c r="K237" s="29">
        <f t="shared" si="33"/>
        <v>536.68946760481379</v>
      </c>
      <c r="M237" s="767">
        <f>IFERROR(Qld!K10-E237,0)</f>
        <v>0.38768260962200429</v>
      </c>
      <c r="N237" s="767">
        <f>IFERROR(Qld!L10-F237,0)</f>
        <v>0.66373914380793764</v>
      </c>
    </row>
    <row r="238" spans="1:14">
      <c r="A238" s="90" t="s">
        <v>5</v>
      </c>
      <c r="B238" s="764" t="s">
        <v>6</v>
      </c>
      <c r="C238" s="83" t="s">
        <v>7</v>
      </c>
      <c r="D238" s="104" t="s">
        <v>82</v>
      </c>
      <c r="E238" s="275">
        <f>IFERROR(IF(Qld!$C$3="Yes",Qld!K11,Qld!K11*(1-'Gap data'!$C60)),"")</f>
        <v>6656.4971860830838</v>
      </c>
      <c r="F238" s="275">
        <f>IFERROR(IF(Qld!$C$3="Yes",Qld!L11,Qld!L11*(1-'Gap data'!$C60)),"")</f>
        <v>7165.6935444270875</v>
      </c>
      <c r="G238" s="84"/>
      <c r="H238" s="86" t="s">
        <v>329</v>
      </c>
      <c r="I238" s="87" t="s">
        <v>330</v>
      </c>
      <c r="J238" s="29">
        <f t="shared" ref="J238:K238" si="34">E271</f>
        <v>567.71772172731755</v>
      </c>
      <c r="K238" s="29">
        <f t="shared" si="34"/>
        <v>611.40568103339729</v>
      </c>
      <c r="M238" s="767">
        <f>IFERROR(Qld!K11-E238,0)</f>
        <v>76.116813916917636</v>
      </c>
      <c r="N238" s="767">
        <f>IFERROR(Qld!L11-F238,0)</f>
        <v>81.939456572918971</v>
      </c>
    </row>
    <row r="239" spans="1:14">
      <c r="A239" s="90" t="s">
        <v>8</v>
      </c>
      <c r="B239" s="764" t="s">
        <v>140</v>
      </c>
      <c r="C239" s="83" t="s">
        <v>9</v>
      </c>
      <c r="D239" s="104" t="s">
        <v>83</v>
      </c>
      <c r="E239" s="275">
        <f>IFERROR(IF(Qld!$C$3="Yes",Qld!K12,Qld!K12*(1-'Gap data'!$C61)),"")</f>
        <v>133110.8033457431</v>
      </c>
      <c r="F239" s="275">
        <f>IFERROR(IF(Qld!$C$3="Yes",Qld!L12,Qld!L12*(1-'Gap data'!$C61)),"")</f>
        <v>79663.58222740356</v>
      </c>
      <c r="G239" s="84"/>
      <c r="H239" s="86" t="s">
        <v>331</v>
      </c>
      <c r="I239" s="87" t="s">
        <v>332</v>
      </c>
      <c r="J239" s="29">
        <f t="shared" ref="J239:K239" si="35">E273</f>
        <v>23.18</v>
      </c>
      <c r="K239" s="29">
        <f t="shared" si="35"/>
        <v>10.340001000000001</v>
      </c>
      <c r="M239" s="767">
        <f>IFERROR(Qld!K12-E239,0)</f>
        <v>190.26465425684</v>
      </c>
      <c r="N239" s="767">
        <f>IFERROR(Qld!L12-F239,0)</f>
        <v>113.86877359599748</v>
      </c>
    </row>
    <row r="240" spans="1:14">
      <c r="A240" s="872" t="s">
        <v>10</v>
      </c>
      <c r="B240" s="1055" t="s">
        <v>11</v>
      </c>
      <c r="C240" s="83" t="s">
        <v>12</v>
      </c>
      <c r="D240" s="104" t="s">
        <v>84</v>
      </c>
      <c r="E240" s="275">
        <f>IFERROR(IF(Qld!$C$3="Yes",Qld!K13,Qld!K13*(1-'Gap data'!$C62)),"")</f>
        <v>64.825072604200926</v>
      </c>
      <c r="F240" s="275">
        <f>IFERROR(IF(Qld!$C$3="Yes",Qld!L13,Qld!L13*(1-'Gap data'!$C62)),"")</f>
        <v>50.590912176042515</v>
      </c>
      <c r="G240" s="84"/>
      <c r="H240" s="86" t="s">
        <v>333</v>
      </c>
      <c r="I240" s="87" t="s">
        <v>334</v>
      </c>
      <c r="J240" s="29">
        <f t="shared" ref="J240:K240" si="36">E270</f>
        <v>2369.5953763229759</v>
      </c>
      <c r="K240" s="29">
        <f t="shared" si="36"/>
        <v>541.80125846967178</v>
      </c>
      <c r="M240" s="767">
        <f>IFERROR(Qld!K13-E240,0)</f>
        <v>1.2927395799067654E-2</v>
      </c>
      <c r="N240" s="767">
        <f>IFERROR(Qld!L13-F240,0)</f>
        <v>1.0088823957488557E-2</v>
      </c>
    </row>
    <row r="241" spans="1:14">
      <c r="A241" s="873"/>
      <c r="B241" s="1056"/>
      <c r="C241" s="83" t="s">
        <v>13</v>
      </c>
      <c r="D241" s="104" t="s">
        <v>85</v>
      </c>
      <c r="E241" s="275">
        <f>IFERROR(IF(Qld!$C$3="Yes",Qld!K14,Qld!K14*(1-'Gap data'!$C63)),"")</f>
        <v>949.93171032103203</v>
      </c>
      <c r="F241" s="275">
        <f>IFERROR(IF(Qld!$C$3="Yes",Qld!L14,Qld!L14*(1-'Gap data'!$C63)),"")</f>
        <v>634.90755394254427</v>
      </c>
      <c r="G241" s="84"/>
      <c r="H241" s="86" t="s">
        <v>335</v>
      </c>
      <c r="I241" s="87" t="s">
        <v>336</v>
      </c>
      <c r="J241" s="29">
        <f t="shared" ref="J241:K241" si="37">E236</f>
        <v>42.24</v>
      </c>
      <c r="K241" s="29">
        <f t="shared" si="37"/>
        <v>9.9999999999999995E-7</v>
      </c>
      <c r="M241" s="767">
        <f>IFERROR(Qld!K14-E241,0)</f>
        <v>12.26928967896788</v>
      </c>
      <c r="N241" s="767">
        <f>IFERROR(Qld!L14-F241,0)</f>
        <v>8.2004470574556763</v>
      </c>
    </row>
    <row r="242" spans="1:14">
      <c r="A242" s="873"/>
      <c r="B242" s="1056"/>
      <c r="C242" s="83" t="s">
        <v>14</v>
      </c>
      <c r="D242" s="104" t="s">
        <v>86</v>
      </c>
      <c r="E242" s="275">
        <f>IFERROR(IF(Qld!$C$3="Yes",Qld!K15,Qld!K15*(1-'Gap data'!$C64)),"")</f>
        <v>182.50959899942274</v>
      </c>
      <c r="F242" s="275">
        <f>IFERROR(IF(Qld!$C$3="Yes",Qld!L15,Qld!L15*(1-'Gap data'!$C64)),"")</f>
        <v>104.56085455350625</v>
      </c>
      <c r="G242" s="84"/>
      <c r="H242" s="86" t="s">
        <v>337</v>
      </c>
      <c r="I242" s="87" t="s">
        <v>322</v>
      </c>
      <c r="J242" s="29">
        <f t="shared" ref="J242:K243" si="38">E274</f>
        <v>22766.545031581987</v>
      </c>
      <c r="K242" s="29">
        <f t="shared" si="38"/>
        <v>18758.473989979393</v>
      </c>
      <c r="M242" s="767">
        <f>IFERROR(Qld!K15-E242,0)</f>
        <v>2.9414010005772582</v>
      </c>
      <c r="N242" s="767">
        <f>IFERROR(Qld!L15-F242,0)</f>
        <v>1.6851464464938601</v>
      </c>
    </row>
    <row r="243" spans="1:14">
      <c r="A243" s="873"/>
      <c r="B243" s="1056"/>
      <c r="C243" s="83" t="s">
        <v>15</v>
      </c>
      <c r="D243" s="104" t="s">
        <v>87</v>
      </c>
      <c r="E243" s="275">
        <f>IFERROR(IF(Qld!$C$3="Yes",Qld!K16,Qld!K16*(1-'Gap data'!$C65)),"")</f>
        <v>337.43495247745017</v>
      </c>
      <c r="F243" s="275">
        <f>IFERROR(IF(Qld!$C$3="Yes",Qld!L16,Qld!L16*(1-'Gap data'!$C65)),"")</f>
        <v>27.417715671775021</v>
      </c>
      <c r="G243" s="84"/>
      <c r="H243" s="86" t="s">
        <v>338</v>
      </c>
      <c r="I243" s="87" t="s">
        <v>339</v>
      </c>
      <c r="J243" s="29">
        <f t="shared" si="38"/>
        <v>99957.249835161245</v>
      </c>
      <c r="K243" s="29">
        <f t="shared" si="38"/>
        <v>91228.903181725458</v>
      </c>
      <c r="M243" s="767">
        <f>IFERROR(Qld!K16-E243,0)</f>
        <v>6.5047522549832593E-2</v>
      </c>
      <c r="N243" s="767">
        <f>IFERROR(Qld!L16-F243,0)</f>
        <v>5.2853282249820666E-3</v>
      </c>
    </row>
    <row r="244" spans="1:14">
      <c r="A244" s="873"/>
      <c r="B244" s="1056"/>
      <c r="C244" s="83" t="s">
        <v>16</v>
      </c>
      <c r="D244" s="104" t="s">
        <v>88</v>
      </c>
      <c r="E244" s="275">
        <f>IFERROR(IF(Qld!$C$3="Yes",Qld!K17,Qld!K17*(1-'Gap data'!$C66)),"")</f>
        <v>45.455698853874409</v>
      </c>
      <c r="F244" s="275">
        <f>IFERROR(IF(Qld!$C$3="Yes",Qld!L17,Qld!L17*(1-'Gap data'!$C66)),"")</f>
        <v>95.311304147771708</v>
      </c>
      <c r="G244" s="84"/>
      <c r="H244" s="86" t="s">
        <v>340</v>
      </c>
      <c r="I244" s="87" t="s">
        <v>341</v>
      </c>
      <c r="J244" s="29">
        <f t="shared" ref="J244:K244" si="39">E281</f>
        <v>992.60812573562191</v>
      </c>
      <c r="K244" s="29">
        <f t="shared" si="39"/>
        <v>1279.2547398268821</v>
      </c>
      <c r="M244" s="767">
        <f>IFERROR(Qld!K17-E244,0)</f>
        <v>4.2301146125595324E-2</v>
      </c>
      <c r="N244" s="767">
        <f>IFERROR(Qld!L17-F244,0)</f>
        <v>8.8696852228295597E-2</v>
      </c>
    </row>
    <row r="245" spans="1:14">
      <c r="A245" s="873"/>
      <c r="B245" s="1056"/>
      <c r="C245" s="83" t="s">
        <v>17</v>
      </c>
      <c r="D245" s="104" t="s">
        <v>89</v>
      </c>
      <c r="E245" s="275">
        <f>IFERROR(IF(Qld!$C$3="Yes",Qld!K18,Qld!K18*(1-'Gap data'!$C67)),"")</f>
        <v>7.0759102596420478</v>
      </c>
      <c r="F245" s="275">
        <f>IFERROR(IF(Qld!$C$3="Yes",Qld!L18,Qld!L18*(1-'Gap data'!$C67)),"")</f>
        <v>4.3251661099067311</v>
      </c>
      <c r="G245" s="84"/>
      <c r="H245" s="86" t="s">
        <v>342</v>
      </c>
      <c r="I245" s="87" t="s">
        <v>343</v>
      </c>
      <c r="J245" s="29">
        <f t="shared" ref="J245:K245" si="40">E276</f>
        <v>103.91122564470329</v>
      </c>
      <c r="K245" s="29">
        <f t="shared" si="40"/>
        <v>50.01001621018311</v>
      </c>
      <c r="M245" s="767">
        <f>IFERROR(Qld!K18-E245,0)</f>
        <v>1.6089740357952742E-2</v>
      </c>
      <c r="N245" s="767">
        <f>IFERROR(Qld!L18-F245,0)</f>
        <v>9.8348900932698768E-3</v>
      </c>
    </row>
    <row r="246" spans="1:14">
      <c r="A246" s="873"/>
      <c r="B246" s="1056"/>
      <c r="C246" s="83" t="s">
        <v>18</v>
      </c>
      <c r="D246" s="104" t="s">
        <v>90</v>
      </c>
      <c r="E246" s="275">
        <f>IFERROR(IF(Qld!$C$3="Yes",Qld!K19,Qld!K19*(1-'Gap data'!$C68)),"")</f>
        <v>8.154474379553033</v>
      </c>
      <c r="F246" s="275">
        <f>IFERROR(IF(Qld!$C$3="Yes",Qld!L19,Qld!L19*(1-'Gap data'!$C68)),"")</f>
        <v>0.45550118520805044</v>
      </c>
      <c r="G246" s="84"/>
      <c r="H246" s="86" t="s">
        <v>344</v>
      </c>
      <c r="I246" s="87" t="s">
        <v>345</v>
      </c>
      <c r="J246" s="29">
        <f t="shared" ref="J246:K247" si="41">E265</f>
        <v>3450.7197035868285</v>
      </c>
      <c r="K246" s="29">
        <f t="shared" si="41"/>
        <v>4137.3557815705944</v>
      </c>
      <c r="M246" s="767">
        <f>IFERROR(Qld!K19-E246,0)</f>
        <v>7.9575256204469689</v>
      </c>
      <c r="N246" s="767">
        <f>IFERROR(Qld!L19-F246,0)</f>
        <v>0.44449981479194961</v>
      </c>
    </row>
    <row r="247" spans="1:14">
      <c r="A247" s="873"/>
      <c r="B247" s="1056"/>
      <c r="C247" s="83" t="s">
        <v>19</v>
      </c>
      <c r="D247" s="104" t="s">
        <v>141</v>
      </c>
      <c r="E247" s="275">
        <f>IFERROR(IF(Qld!$C$3="Yes",Qld!K20,Qld!K20*(1-'Gap data'!$C69)),"")</f>
        <v>0</v>
      </c>
      <c r="F247" s="275">
        <f>IFERROR(IF(Qld!$C$3="Yes",Qld!L20,Qld!L20*(1-'Gap data'!$C69)),"")</f>
        <v>9.9999999999999995E-7</v>
      </c>
      <c r="G247" s="84"/>
      <c r="H247" s="86" t="s">
        <v>346</v>
      </c>
      <c r="I247" s="87" t="s">
        <v>347</v>
      </c>
      <c r="J247" s="29">
        <f t="shared" si="41"/>
        <v>455.00181097554736</v>
      </c>
      <c r="K247" s="29">
        <f t="shared" si="41"/>
        <v>607.32144627232458</v>
      </c>
      <c r="M247" s="767">
        <f>IFERROR(Qld!K20-E247,0)</f>
        <v>0</v>
      </c>
      <c r="N247" s="767">
        <f>IFERROR(Qld!L20-F247,0)</f>
        <v>0</v>
      </c>
    </row>
    <row r="248" spans="1:14">
      <c r="A248" s="873"/>
      <c r="B248" s="1056"/>
      <c r="C248" s="83" t="s">
        <v>142</v>
      </c>
      <c r="D248" s="104" t="s">
        <v>143</v>
      </c>
      <c r="E248" s="275">
        <f>IFERROR(IF(Qld!$C$3="Yes",Qld!K21,Qld!K21*(1-'Gap data'!$C70)),"")</f>
        <v>0</v>
      </c>
      <c r="F248" s="275">
        <f>IFERROR(IF(Qld!$C$3="Yes",Qld!L21,Qld!L21*(1-'Gap data'!$C70)),"")</f>
        <v>6.6666666666666671E-7</v>
      </c>
      <c r="G248" s="84"/>
      <c r="H248" s="86" t="s">
        <v>348</v>
      </c>
      <c r="I248" s="87" t="s">
        <v>349</v>
      </c>
      <c r="J248" s="29">
        <f t="shared" ref="J248:K248" si="42">E303</f>
        <v>207.05133174031718</v>
      </c>
      <c r="K248" s="29">
        <f t="shared" si="42"/>
        <v>276.50272486073828</v>
      </c>
      <c r="M248" s="767">
        <f>IFERROR(Qld!K21-E248,0)</f>
        <v>0</v>
      </c>
      <c r="N248" s="767">
        <f>IFERROR(Qld!L21-F248,0)</f>
        <v>3.3333333333333325E-7</v>
      </c>
    </row>
    <row r="249" spans="1:14">
      <c r="A249" s="873"/>
      <c r="B249" s="1056"/>
      <c r="C249" s="83" t="s">
        <v>20</v>
      </c>
      <c r="D249" s="104" t="s">
        <v>91</v>
      </c>
      <c r="E249" s="275">
        <f>IFERROR(IF(Qld!$C$3="Yes",Qld!K22,Qld!K22*(1-'Gap data'!$C71)),"")</f>
        <v>1083.4314580178348</v>
      </c>
      <c r="F249" s="275">
        <f>IFERROR(IF(Qld!$C$3="Yes",Qld!L22,Qld!L22*(1-'Gap data'!$C71)),"")</f>
        <v>319.54905507936212</v>
      </c>
      <c r="G249" s="84"/>
      <c r="H249" s="86" t="s">
        <v>350</v>
      </c>
      <c r="I249" s="87" t="s">
        <v>351</v>
      </c>
      <c r="J249" s="29">
        <f>IF(AND(E261="",E262="",E264="",E306=""),"",SUM(E261:E262,E264,E306))</f>
        <v>586.03080059283047</v>
      </c>
      <c r="K249" s="29">
        <f>IF(AND(F261="",F262="",F264="",F306=""),"",SUM(F261:F262,F264,F306))</f>
        <v>474.56272445078156</v>
      </c>
      <c r="M249" s="767">
        <f>IFERROR(Qld!K22-E249,0)</f>
        <v>7.9505419821653049</v>
      </c>
      <c r="N249" s="767">
        <f>IFERROR(Qld!L22-F249,0)</f>
        <v>2.3449459206378833</v>
      </c>
    </row>
    <row r="250" spans="1:14">
      <c r="A250" s="873"/>
      <c r="B250" s="1056"/>
      <c r="C250" s="83" t="s">
        <v>21</v>
      </c>
      <c r="D250" s="104" t="s">
        <v>144</v>
      </c>
      <c r="E250" s="280"/>
      <c r="F250" s="280"/>
      <c r="G250" s="84"/>
      <c r="H250" s="86" t="s">
        <v>352</v>
      </c>
      <c r="I250" s="87" t="s">
        <v>353</v>
      </c>
      <c r="J250" s="29">
        <f t="shared" ref="J250:K250" si="43">E304</f>
        <v>64.325527700060661</v>
      </c>
      <c r="K250" s="29">
        <f t="shared" si="43"/>
        <v>79.010663574371279</v>
      </c>
      <c r="M250" s="767">
        <f>IFERROR(Qld!K23-E250,0)</f>
        <v>0</v>
      </c>
      <c r="N250" s="767">
        <f>IFERROR(Qld!L23-F250,0)</f>
        <v>0</v>
      </c>
    </row>
    <row r="251" spans="1:14">
      <c r="A251" s="873"/>
      <c r="B251" s="1056"/>
      <c r="C251" s="83" t="s">
        <v>22</v>
      </c>
      <c r="D251" s="104" t="s">
        <v>92</v>
      </c>
      <c r="E251" s="275">
        <f>IFERROR(IF(Qld!$C$3="Yes",Qld!K24,Qld!K24*(1-'Gap data'!$C73)),"")</f>
        <v>68.970137331980638</v>
      </c>
      <c r="F251" s="275">
        <f>IFERROR(IF(Qld!$C$3="Yes",Qld!L24,Qld!L24*(1-'Gap data'!$C73)),"")</f>
        <v>98.169868402972511</v>
      </c>
      <c r="G251" s="84"/>
      <c r="H251" s="86" t="s">
        <v>354</v>
      </c>
      <c r="I251" s="87" t="s">
        <v>355</v>
      </c>
      <c r="J251" s="29">
        <f t="shared" ref="J251:K251" si="44">E235</f>
        <v>2857.58</v>
      </c>
      <c r="K251" s="29">
        <f t="shared" si="44"/>
        <v>3084.0380010000031</v>
      </c>
      <c r="M251" s="767">
        <f>IFERROR(Qld!K24-E251,0)</f>
        <v>5.7568626680193518</v>
      </c>
      <c r="N251" s="767">
        <f>IFERROR(Qld!L24-F251,0)</f>
        <v>8.1941325970274903</v>
      </c>
    </row>
    <row r="252" spans="1:14">
      <c r="A252" s="873"/>
      <c r="B252" s="1056"/>
      <c r="C252" s="83" t="s">
        <v>23</v>
      </c>
      <c r="D252" s="104" t="s">
        <v>93</v>
      </c>
      <c r="E252" s="275">
        <f>IFERROR(IF(Qld!$C$3="Yes",Qld!K25,Qld!K25*(1-'Gap data'!$C74)),"")</f>
        <v>6602.6205767362853</v>
      </c>
      <c r="F252" s="275">
        <f>IFERROR(IF(Qld!$C$3="Yes",Qld!L25,Qld!L25*(1-'Gap data'!$C74)),"")</f>
        <v>3652.3778166381803</v>
      </c>
      <c r="G252" s="84"/>
      <c r="H252" s="86" t="s">
        <v>356</v>
      </c>
      <c r="I252" s="87" t="s">
        <v>357</v>
      </c>
      <c r="J252" s="29">
        <f>IF(AND(E294="",E295="",E297="",E299=""),"",SUM(E294:E295,E297,E299))</f>
        <v>242635.32313928384</v>
      </c>
      <c r="K252" s="29">
        <f>IF(AND(F294="",F295="",F297="",F299=""),"",SUM(F294:F295,F297,F299))</f>
        <v>244721.31683724109</v>
      </c>
      <c r="M252" s="767">
        <f>IFERROR(Qld!K25-E252,0)</f>
        <v>28.304423263713943</v>
      </c>
      <c r="N252" s="767">
        <f>IFERROR(Qld!L25-F252,0)</f>
        <v>15.657184361823056</v>
      </c>
    </row>
    <row r="253" spans="1:14">
      <c r="A253" s="873"/>
      <c r="B253" s="1056"/>
      <c r="C253" s="83" t="s">
        <v>24</v>
      </c>
      <c r="D253" s="104" t="s">
        <v>94</v>
      </c>
      <c r="E253" s="275">
        <f>IFERROR(IF(Qld!$C$3="Yes",Qld!K26,Qld!K26*(1-'Gap data'!$C75)),"")</f>
        <v>1605.1580000000001</v>
      </c>
      <c r="F253" s="275">
        <f>IFERROR(IF(Qld!$C$3="Yes",Qld!L26,Qld!L26*(1-'Gap data'!$C75)),"")</f>
        <v>140.345001</v>
      </c>
      <c r="G253" s="760" t="s">
        <v>428</v>
      </c>
      <c r="H253" s="93"/>
      <c r="I253" s="94" t="s">
        <v>407</v>
      </c>
      <c r="J253" s="30"/>
      <c r="K253" s="31"/>
      <c r="M253" s="767">
        <f>IFERROR(Qld!K26-E253,0)</f>
        <v>0</v>
      </c>
      <c r="N253" s="767">
        <f>IFERROR(Qld!L26-F253,0)</f>
        <v>0</v>
      </c>
    </row>
    <row r="254" spans="1:14">
      <c r="A254" s="873"/>
      <c r="B254" s="1056"/>
      <c r="C254" s="83" t="s">
        <v>25</v>
      </c>
      <c r="D254" s="104" t="s">
        <v>145</v>
      </c>
      <c r="E254" s="275">
        <f>IFERROR(IF(Qld!$C$3="Yes",Qld!K27,Qld!K27*(1-'Gap data'!$C76)),"")</f>
        <v>1</v>
      </c>
      <c r="F254" s="275">
        <f>IFERROR(IF(Qld!$C$3="Yes",Qld!L27,Qld!L27*(1-'Gap data'!$C76)),"")</f>
        <v>9.9999999999999995E-7</v>
      </c>
      <c r="G254" s="84"/>
      <c r="H254" s="86" t="s">
        <v>358</v>
      </c>
      <c r="I254" s="87" t="s">
        <v>84</v>
      </c>
      <c r="J254" s="29">
        <f t="shared" ref="J254:K254" si="45">E240</f>
        <v>64.825072604200926</v>
      </c>
      <c r="K254" s="29">
        <f t="shared" si="45"/>
        <v>50.590912176042515</v>
      </c>
      <c r="M254" s="767">
        <f>IFERROR(Qld!K27-E254,0)</f>
        <v>0</v>
      </c>
      <c r="N254" s="767">
        <f>IFERROR(Qld!L27-F254,0)</f>
        <v>0</v>
      </c>
    </row>
    <row r="255" spans="1:14">
      <c r="A255" s="873"/>
      <c r="B255" s="1056"/>
      <c r="C255" s="83" t="s">
        <v>146</v>
      </c>
      <c r="D255" s="104" t="s">
        <v>147</v>
      </c>
      <c r="E255" s="275">
        <f>IFERROR(IF(Qld!$C$3="Yes",Qld!K28,Qld!K28*(1-'Gap data'!$C77)),"")</f>
        <v>0</v>
      </c>
      <c r="F255" s="275">
        <f>IFERROR(IF(Qld!$C$3="Yes",Qld!L28,Qld!L28*(1-'Gap data'!$C77)),"")</f>
        <v>10.220001</v>
      </c>
      <c r="G255" s="84"/>
      <c r="H255" s="86" t="s">
        <v>359</v>
      </c>
      <c r="I255" s="87" t="s">
        <v>90</v>
      </c>
      <c r="J255" s="29">
        <f t="shared" ref="J255:K255" si="46">E246</f>
        <v>8.154474379553033</v>
      </c>
      <c r="K255" s="29">
        <f t="shared" si="46"/>
        <v>0.45550118520805044</v>
      </c>
      <c r="M255" s="767">
        <f>IFERROR(Qld!K28-E255,0)</f>
        <v>0</v>
      </c>
      <c r="N255" s="767">
        <f>IFERROR(Qld!L28-F255,0)</f>
        <v>0</v>
      </c>
    </row>
    <row r="256" spans="1:14">
      <c r="A256" s="873"/>
      <c r="B256" s="1056"/>
      <c r="C256" s="83" t="s">
        <v>148</v>
      </c>
      <c r="D256" s="104" t="s">
        <v>149</v>
      </c>
      <c r="E256" s="275">
        <f>IFERROR(IF(Qld!$C$3="Yes",Qld!K29,Qld!K29*(1-'Gap data'!$C78)),"")</f>
        <v>0</v>
      </c>
      <c r="F256" s="275">
        <f>IFERROR(IF(Qld!$C$3="Yes",Qld!L29,Qld!L29*(1-'Gap data'!$C78)),"")</f>
        <v>12.800001</v>
      </c>
      <c r="G256" s="84"/>
      <c r="H256" s="86" t="s">
        <v>360</v>
      </c>
      <c r="I256" s="87" t="s">
        <v>361</v>
      </c>
      <c r="J256" s="29">
        <f t="shared" ref="J256:K256" si="47">E244</f>
        <v>45.455698853874409</v>
      </c>
      <c r="K256" s="29">
        <f t="shared" si="47"/>
        <v>95.311304147771708</v>
      </c>
      <c r="M256" s="767">
        <f>IFERROR(Qld!K29-E256,0)</f>
        <v>0</v>
      </c>
      <c r="N256" s="767">
        <f>IFERROR(Qld!L29-F256,0)</f>
        <v>0</v>
      </c>
    </row>
    <row r="257" spans="1:14">
      <c r="A257" s="873"/>
      <c r="B257" s="1056"/>
      <c r="C257" s="83" t="s">
        <v>26</v>
      </c>
      <c r="D257" s="104" t="s">
        <v>150</v>
      </c>
      <c r="E257" s="275">
        <f>IFERROR(IF(Qld!$C$3="Yes",Qld!K30,Qld!K30*(1-'Gap data'!$C79)),"")</f>
        <v>0</v>
      </c>
      <c r="F257" s="275">
        <f>IFERROR(IF(Qld!$C$3="Yes",Qld!L30,Qld!L30*(1-'Gap data'!$C79)),"")</f>
        <v>9.9883449883449883E-7</v>
      </c>
      <c r="G257" s="84"/>
      <c r="H257" s="86" t="s">
        <v>362</v>
      </c>
      <c r="I257" s="87" t="s">
        <v>91</v>
      </c>
      <c r="J257" s="29">
        <f t="shared" ref="J257:K257" si="48">E249</f>
        <v>1083.4314580178348</v>
      </c>
      <c r="K257" s="29">
        <f t="shared" si="48"/>
        <v>319.54905507936212</v>
      </c>
      <c r="M257" s="767">
        <f>IFERROR(Qld!K30-E257,0)</f>
        <v>0</v>
      </c>
      <c r="N257" s="767">
        <f>IFERROR(Qld!L30-F257,0)</f>
        <v>1.1655011655011208E-9</v>
      </c>
    </row>
    <row r="258" spans="1:14">
      <c r="A258" s="873"/>
      <c r="B258" s="1056"/>
      <c r="C258" s="83" t="s">
        <v>27</v>
      </c>
      <c r="D258" s="104" t="s">
        <v>95</v>
      </c>
      <c r="E258" s="275">
        <f>IFERROR(IF(Qld!$C$3="Yes",Qld!K31,Qld!K31*(1-'Gap data'!$C80)),"")</f>
        <v>14186.567472683297</v>
      </c>
      <c r="F258" s="275">
        <f>IFERROR(IF(Qld!$C$3="Yes",Qld!L31,Qld!L31*(1-'Gap data'!$C80)),"")</f>
        <v>9844.911229613359</v>
      </c>
      <c r="G258" s="84"/>
      <c r="H258" s="86" t="s">
        <v>363</v>
      </c>
      <c r="I258" s="87" t="s">
        <v>94</v>
      </c>
      <c r="J258" s="29">
        <f t="shared" ref="J258:K258" si="49">E253</f>
        <v>1605.1580000000001</v>
      </c>
      <c r="K258" s="29">
        <f t="shared" si="49"/>
        <v>140.345001</v>
      </c>
      <c r="M258" s="767">
        <f>IFERROR(Qld!K31-E258,0)</f>
        <v>16.539527316703243</v>
      </c>
      <c r="N258" s="767">
        <f>IFERROR(Qld!L31-F258,0)</f>
        <v>11.477771386647873</v>
      </c>
    </row>
    <row r="259" spans="1:14">
      <c r="A259" s="873"/>
      <c r="B259" s="1056"/>
      <c r="C259" s="83" t="s">
        <v>28</v>
      </c>
      <c r="D259" s="104" t="s">
        <v>96</v>
      </c>
      <c r="E259" s="275">
        <f>IFERROR(IF(Qld!$C$3="Yes",Qld!K32,Qld!K32*(1-'Gap data'!$C81)),"")</f>
        <v>0</v>
      </c>
      <c r="F259" s="275">
        <f>IFERROR(IF(Qld!$C$3="Yes",Qld!L32,Qld!L32*(1-'Gap data'!$C81)),"")</f>
        <v>9.9999999999999995E-7</v>
      </c>
      <c r="G259" s="84"/>
      <c r="H259" s="86" t="s">
        <v>364</v>
      </c>
      <c r="I259" s="87" t="s">
        <v>87</v>
      </c>
      <c r="J259" s="29">
        <f t="shared" ref="J259:K259" si="50">E243</f>
        <v>337.43495247745017</v>
      </c>
      <c r="K259" s="29">
        <f t="shared" si="50"/>
        <v>27.417715671775021</v>
      </c>
      <c r="M259" s="767">
        <f>IFERROR(Qld!K32-E259,0)</f>
        <v>0</v>
      </c>
      <c r="N259" s="767">
        <f>IFERROR(Qld!L32-F259,0)</f>
        <v>0</v>
      </c>
    </row>
    <row r="260" spans="1:14">
      <c r="A260" s="873"/>
      <c r="B260" s="1056"/>
      <c r="C260" s="83" t="s">
        <v>29</v>
      </c>
      <c r="D260" s="104" t="s">
        <v>97</v>
      </c>
      <c r="E260" s="275">
        <f>IFERROR(IF(Qld!$C$3="Yes",Qld!K33,Qld!K33*(1-'Gap data'!$C82)),"")</f>
        <v>326.50517723111108</v>
      </c>
      <c r="F260" s="275">
        <f>IFERROR(IF(Qld!$C$3="Yes",Qld!L33,Qld!L33*(1-'Gap data'!$C82)),"")</f>
        <v>328.60755478612361</v>
      </c>
      <c r="G260" s="84"/>
      <c r="H260" s="86" t="s">
        <v>365</v>
      </c>
      <c r="I260" s="87" t="s">
        <v>145</v>
      </c>
      <c r="J260" s="29">
        <f t="shared" ref="J260:K260" si="51">E254</f>
        <v>1</v>
      </c>
      <c r="K260" s="29">
        <f t="shared" si="51"/>
        <v>9.9999999999999995E-7</v>
      </c>
      <c r="M260" s="767">
        <f>IFERROR(Qld!K33-E260,0)</f>
        <v>9.6822768888898736E-2</v>
      </c>
      <c r="N260" s="767">
        <f>IFERROR(Qld!L33-F260,0)</f>
        <v>9.7446213876366983E-2</v>
      </c>
    </row>
    <row r="261" spans="1:14">
      <c r="A261" s="873"/>
      <c r="B261" s="1056"/>
      <c r="C261" s="83" t="s">
        <v>99</v>
      </c>
      <c r="D261" s="104" t="s">
        <v>98</v>
      </c>
      <c r="E261" s="275">
        <f>IFERROR(IF(Qld!$C$3="Yes",Qld!K34,Qld!K34*(1-'Gap data'!$C83)),"")</f>
        <v>3.2491467576791812E-2</v>
      </c>
      <c r="F261" s="275">
        <f>IFERROR(IF(Qld!$C$3="Yes",Qld!L34,Qld!L34*(1-'Gap data'!$C83)),"")</f>
        <v>8.1228668941979518E-7</v>
      </c>
      <c r="G261" s="84"/>
      <c r="H261" s="86" t="s">
        <v>366</v>
      </c>
      <c r="I261" s="87" t="s">
        <v>89</v>
      </c>
      <c r="J261" s="29">
        <f t="shared" ref="J261:K261" si="52">E245</f>
        <v>7.0759102596420478</v>
      </c>
      <c r="K261" s="29">
        <f t="shared" si="52"/>
        <v>4.3251661099067311</v>
      </c>
      <c r="M261" s="767">
        <f>IFERROR(Qld!K34-E261,0)</f>
        <v>7.508532423208189E-3</v>
      </c>
      <c r="N261" s="767">
        <f>IFERROR(Qld!L34-F261,0)</f>
        <v>1.8771331058020478E-7</v>
      </c>
    </row>
    <row r="262" spans="1:14">
      <c r="A262" s="873"/>
      <c r="B262" s="1056"/>
      <c r="C262" s="83" t="s">
        <v>101</v>
      </c>
      <c r="D262" s="104" t="s">
        <v>100</v>
      </c>
      <c r="E262" s="275">
        <f>IFERROR(IF(Qld!$C$3="Yes",Qld!K35,Qld!K35*(1-'Gap data'!$C84)),"")</f>
        <v>10.839483019999145</v>
      </c>
      <c r="F262" s="275">
        <f>IFERROR(IF(Qld!$C$3="Yes",Qld!L35,Qld!L35*(1-'Gap data'!$C84)),"")</f>
        <v>3.6041690719598023</v>
      </c>
      <c r="G262" s="84"/>
      <c r="H262" s="86" t="s">
        <v>367</v>
      </c>
      <c r="I262" s="87" t="s">
        <v>141</v>
      </c>
      <c r="J262" s="29">
        <f t="shared" ref="J262:K262" si="53">E247</f>
        <v>0</v>
      </c>
      <c r="K262" s="29">
        <f t="shared" si="53"/>
        <v>9.9999999999999995E-7</v>
      </c>
      <c r="M262" s="767">
        <f>IFERROR(Qld!K35-E262,0)</f>
        <v>8.5169800008557672E-3</v>
      </c>
      <c r="N262" s="767">
        <f>IFERROR(Qld!L35-F262,0)</f>
        <v>2.8319280401980507E-3</v>
      </c>
    </row>
    <row r="263" spans="1:14">
      <c r="A263" s="874"/>
      <c r="B263" s="1057"/>
      <c r="C263" s="83" t="s">
        <v>30</v>
      </c>
      <c r="D263" s="104" t="s">
        <v>151</v>
      </c>
      <c r="E263" s="275">
        <f>IFERROR(IF(Qld!$C$3="Yes",Qld!K36,Qld!K36*(1-'Gap data'!$C85)),"")</f>
        <v>66.614288820989785</v>
      </c>
      <c r="F263" s="275">
        <f>IFERROR(IF(Qld!$C$3="Yes",Qld!L36,Qld!L36*(1-'Gap data'!$C85)),"")</f>
        <v>74.452206142812301</v>
      </c>
      <c r="G263" s="84"/>
      <c r="H263" s="86" t="s">
        <v>368</v>
      </c>
      <c r="I263" s="87" t="s">
        <v>147</v>
      </c>
      <c r="J263" s="29">
        <f t="shared" ref="J263:K263" si="54">E255</f>
        <v>0</v>
      </c>
      <c r="K263" s="29">
        <f t="shared" si="54"/>
        <v>10.220001</v>
      </c>
      <c r="M263" s="767">
        <f>IFERROR(Qld!K36-E263,0)</f>
        <v>7.1117901021011676E-4</v>
      </c>
      <c r="N263" s="767">
        <f>IFERROR(Qld!L36-F263,0)</f>
        <v>7.9485718769944924E-4</v>
      </c>
    </row>
    <row r="264" spans="1:14">
      <c r="A264" s="90" t="s">
        <v>31</v>
      </c>
      <c r="B264" s="764" t="s">
        <v>32</v>
      </c>
      <c r="C264" s="83" t="s">
        <v>33</v>
      </c>
      <c r="D264" s="104" t="s">
        <v>102</v>
      </c>
      <c r="E264" s="275">
        <f>IFERROR(IF(Qld!$C$3="Yes",Qld!K37,Qld!K37*(1-'Gap data'!$C86)),"")</f>
        <v>32.37303586669627</v>
      </c>
      <c r="F264" s="275">
        <f>IFERROR(IF(Qld!$C$3="Yes",Qld!L37,Qld!L37*(1-'Gap data'!$C86)),"")</f>
        <v>173.11366172185635</v>
      </c>
      <c r="G264" s="84"/>
      <c r="H264" s="86" t="s">
        <v>369</v>
      </c>
      <c r="I264" s="87" t="s">
        <v>86</v>
      </c>
      <c r="J264" s="29">
        <f t="shared" ref="J264:K264" si="55">E242</f>
        <v>182.50959899942274</v>
      </c>
      <c r="K264" s="29">
        <f t="shared" si="55"/>
        <v>104.56085455350625</v>
      </c>
      <c r="M264" s="767">
        <f>IFERROR(Qld!K37-E264,0)</f>
        <v>0.81596413330372997</v>
      </c>
      <c r="N264" s="767">
        <f>IFERROR(Qld!L37-F264,0)</f>
        <v>4.3633392781436839</v>
      </c>
    </row>
    <row r="265" spans="1:14">
      <c r="A265" s="872" t="s">
        <v>34</v>
      </c>
      <c r="B265" s="1055" t="s">
        <v>152</v>
      </c>
      <c r="C265" s="83" t="s">
        <v>35</v>
      </c>
      <c r="D265" s="104" t="s">
        <v>103</v>
      </c>
      <c r="E265" s="275">
        <f>IFERROR(IF(Qld!$C$3="Yes",Qld!K38,Qld!K38*(1-'Gap data'!$C87)),"")</f>
        <v>3450.7197035868285</v>
      </c>
      <c r="F265" s="275">
        <f>IFERROR(IF(Qld!$C$3="Yes",Qld!L38,Qld!L38*(1-'Gap data'!$C87)),"")</f>
        <v>4137.3557815705944</v>
      </c>
      <c r="G265" s="84"/>
      <c r="H265" s="86" t="s">
        <v>370</v>
      </c>
      <c r="I265" s="87" t="s">
        <v>143</v>
      </c>
      <c r="J265" s="29">
        <f t="shared" ref="J265:K265" si="56">E248</f>
        <v>0</v>
      </c>
      <c r="K265" s="29">
        <f t="shared" si="56"/>
        <v>6.6666666666666671E-7</v>
      </c>
      <c r="M265" s="767">
        <f>IFERROR(Qld!K38-E265,0)</f>
        <v>1666.9322964131734</v>
      </c>
      <c r="N265" s="767">
        <f>IFERROR(Qld!L38-F265,0)</f>
        <v>1998.6242194296647</v>
      </c>
    </row>
    <row r="266" spans="1:14">
      <c r="A266" s="874"/>
      <c r="B266" s="1057"/>
      <c r="C266" s="83" t="s">
        <v>105</v>
      </c>
      <c r="D266" s="104" t="s">
        <v>104</v>
      </c>
      <c r="E266" s="275">
        <f>IFERROR(IF(Qld!$C$3="Yes",Qld!K39,Qld!K39*(1-'Gap data'!$C88)),"")</f>
        <v>455.00181097554736</v>
      </c>
      <c r="F266" s="275">
        <f>IFERROR(IF(Qld!$C$3="Yes",Qld!L39,Qld!L39*(1-'Gap data'!$C88)),"")</f>
        <v>607.32144627232458</v>
      </c>
      <c r="G266" s="84"/>
      <c r="H266" s="86" t="s">
        <v>371</v>
      </c>
      <c r="I266" s="87" t="s">
        <v>93</v>
      </c>
      <c r="J266" s="29">
        <f t="shared" ref="J266:K266" si="57">E252</f>
        <v>6602.6205767362853</v>
      </c>
      <c r="K266" s="29">
        <f t="shared" si="57"/>
        <v>3652.3778166381803</v>
      </c>
      <c r="M266" s="767">
        <f>IFERROR(Qld!K39-E266,0)</f>
        <v>8.8131890244526971</v>
      </c>
      <c r="N266" s="767">
        <f>IFERROR(Qld!L39-F266,0)</f>
        <v>11.763554727674773</v>
      </c>
    </row>
    <row r="267" spans="1:14">
      <c r="A267" s="872" t="s">
        <v>37</v>
      </c>
      <c r="B267" s="1055" t="s">
        <v>153</v>
      </c>
      <c r="C267" s="83" t="s">
        <v>38</v>
      </c>
      <c r="D267" s="104" t="s">
        <v>106</v>
      </c>
      <c r="E267" s="275">
        <f>IFERROR(IF(Qld!$C$3="Yes",Qld!K40,Qld!K40*(1-'Gap data'!$C89)),"")</f>
        <v>79.717197905628225</v>
      </c>
      <c r="F267" s="275">
        <f>IFERROR(IF(Qld!$C$3="Yes",Qld!L40,Qld!L40*(1-'Gap data'!$C89)),"")</f>
        <v>57.890181942531996</v>
      </c>
      <c r="G267" s="84"/>
      <c r="H267" s="86" t="s">
        <v>372</v>
      </c>
      <c r="I267" s="87" t="s">
        <v>85</v>
      </c>
      <c r="J267" s="29">
        <f t="shared" ref="J267:K267" si="58">E241</f>
        <v>949.93171032103203</v>
      </c>
      <c r="K267" s="29">
        <f t="shared" si="58"/>
        <v>634.90755394254427</v>
      </c>
      <c r="M267" s="767">
        <f>IFERROR(Qld!K40-E267,0)</f>
        <v>39.151802094371774</v>
      </c>
      <c r="N267" s="767">
        <f>IFERROR(Qld!L40-F267,0)</f>
        <v>28.43181905746799</v>
      </c>
    </row>
    <row r="268" spans="1:14">
      <c r="A268" s="873"/>
      <c r="B268" s="1056"/>
      <c r="C268" s="83" t="s">
        <v>39</v>
      </c>
      <c r="D268" s="104" t="s">
        <v>107</v>
      </c>
      <c r="E268" s="275">
        <f>IFERROR(IF(Qld!$C$3="Yes",Qld!K41,Qld!K41*(1-'Gap data'!$C90)),"")</f>
        <v>521.93809159231546</v>
      </c>
      <c r="F268" s="275">
        <f>IFERROR(IF(Qld!$C$3="Yes",Qld!L41,Qld!L41*(1-'Gap data'!$C90)),"")</f>
        <v>632.36310263222026</v>
      </c>
      <c r="G268" s="84"/>
      <c r="H268" s="86" t="s">
        <v>373</v>
      </c>
      <c r="I268" s="87" t="s">
        <v>374</v>
      </c>
      <c r="J268" s="29">
        <f t="shared" ref="J268:K270" si="59">E237</f>
        <v>25.125317390377994</v>
      </c>
      <c r="K268" s="29">
        <f t="shared" si="59"/>
        <v>43.016261856192052</v>
      </c>
      <c r="M268" s="767">
        <f>IFERROR(Qld!K41-E268,0)</f>
        <v>166.60890840768764</v>
      </c>
      <c r="N268" s="767">
        <f>IFERROR(Qld!L41-F268,0)</f>
        <v>201.85789836766128</v>
      </c>
    </row>
    <row r="269" spans="1:14">
      <c r="A269" s="873"/>
      <c r="B269" s="1056"/>
      <c r="C269" s="83" t="s">
        <v>40</v>
      </c>
      <c r="D269" s="104" t="s">
        <v>108</v>
      </c>
      <c r="E269" s="275">
        <f>IFERROR(IF(Qld!$C$3="Yes",Qld!K42,Qld!K42*(1-'Gap data'!$C91)),"")</f>
        <v>18.750833338042231</v>
      </c>
      <c r="F269" s="275">
        <f>IFERROR(IF(Qld!$C$3="Yes",Qld!L42,Qld!L42*(1-'Gap data'!$C91)),"")</f>
        <v>12.968503726240925</v>
      </c>
      <c r="G269" s="84"/>
      <c r="H269" s="86" t="s">
        <v>375</v>
      </c>
      <c r="I269" s="87" t="s">
        <v>82</v>
      </c>
      <c r="J269" s="29">
        <f t="shared" si="59"/>
        <v>6656.4971860830838</v>
      </c>
      <c r="K269" s="29">
        <f t="shared" si="59"/>
        <v>7165.6935444270875</v>
      </c>
      <c r="M269" s="767">
        <f>IFERROR(Qld!K42-E269,0)</f>
        <v>0.79016666195776963</v>
      </c>
      <c r="N269" s="767">
        <f>IFERROR(Qld!L42-F269,0)</f>
        <v>0.54649727375906565</v>
      </c>
    </row>
    <row r="270" spans="1:14">
      <c r="A270" s="874"/>
      <c r="B270" s="1057"/>
      <c r="C270" s="83" t="s">
        <v>41</v>
      </c>
      <c r="D270" s="104" t="s">
        <v>109</v>
      </c>
      <c r="E270" s="275">
        <f>IFERROR(IF(Qld!$C$3="Yes",Qld!K43,Qld!K43*(1-'Gap data'!$C92)),"")</f>
        <v>2369.5953763229759</v>
      </c>
      <c r="F270" s="275">
        <f>IFERROR(IF(Qld!$C$3="Yes",Qld!L43,Qld!L43*(1-'Gap data'!$C92)),"")</f>
        <v>541.80125846967178</v>
      </c>
      <c r="G270" s="84"/>
      <c r="H270" s="86" t="s">
        <v>376</v>
      </c>
      <c r="I270" s="87" t="s">
        <v>83</v>
      </c>
      <c r="J270" s="29">
        <f t="shared" si="59"/>
        <v>133110.8033457431</v>
      </c>
      <c r="K270" s="29">
        <f t="shared" si="59"/>
        <v>79663.58222740356</v>
      </c>
      <c r="M270" s="767">
        <f>IFERROR(Qld!K43-E270,0)</f>
        <v>1705.6006236770236</v>
      </c>
      <c r="N270" s="767">
        <f>IFERROR(Qld!L43-F270,0)</f>
        <v>389.98074253032894</v>
      </c>
    </row>
    <row r="271" spans="1:14">
      <c r="A271" s="872" t="s">
        <v>42</v>
      </c>
      <c r="B271" s="1055" t="s">
        <v>154</v>
      </c>
      <c r="C271" s="83" t="s">
        <v>43</v>
      </c>
      <c r="D271" s="104" t="s">
        <v>110</v>
      </c>
      <c r="E271" s="275">
        <f>IFERROR(IF(Qld!$C$3="Yes",Qld!K44,Qld!K44*(1-'Gap data'!$C93)),"")</f>
        <v>567.71772172731755</v>
      </c>
      <c r="F271" s="275">
        <f>IFERROR(IF(Qld!$C$3="Yes",Qld!L44,Qld!L44*(1-'Gap data'!$C93)),"")</f>
        <v>611.40568103339729</v>
      </c>
      <c r="G271" s="84"/>
      <c r="H271" s="86" t="s">
        <v>377</v>
      </c>
      <c r="I271" s="87" t="s">
        <v>378</v>
      </c>
      <c r="J271" s="29">
        <f t="shared" ref="J271:K271" si="60">E298</f>
        <v>74881.779073676109</v>
      </c>
      <c r="K271" s="29">
        <f t="shared" si="60"/>
        <v>84602.488931903892</v>
      </c>
      <c r="M271" s="767">
        <f>IFERROR(Qld!K44-E271,0)</f>
        <v>0.6632782726824189</v>
      </c>
      <c r="N271" s="767">
        <f>IFERROR(Qld!L44-F271,0)</f>
        <v>0.71431996660271579</v>
      </c>
    </row>
    <row r="272" spans="1:14">
      <c r="A272" s="873"/>
      <c r="B272" s="1056"/>
      <c r="C272" s="83" t="s">
        <v>44</v>
      </c>
      <c r="D272" s="104" t="s">
        <v>111</v>
      </c>
      <c r="E272" s="275">
        <f>IFERROR(IF(Qld!$C$3="Yes",Qld!K45,Qld!K45*(1-'Gap data'!$C94)),"")</f>
        <v>9.1878527685978284</v>
      </c>
      <c r="F272" s="275">
        <f>IFERROR(IF(Qld!$C$3="Yes",Qld!L45,Qld!L45*(1-'Gap data'!$C94)),"")</f>
        <v>12.488208795484105</v>
      </c>
      <c r="G272" s="760" t="str">
        <f>G253</f>
        <v>Qld</v>
      </c>
      <c r="H272" s="86" t="s">
        <v>379</v>
      </c>
      <c r="I272" s="87" t="s">
        <v>176</v>
      </c>
      <c r="J272" s="29">
        <f t="shared" ref="J272:K272" si="61">E272</f>
        <v>9.1878527685978284</v>
      </c>
      <c r="K272" s="29">
        <f t="shared" si="61"/>
        <v>12.488208795484105</v>
      </c>
      <c r="M272" s="767">
        <f>IFERROR(Qld!K45-E272,0)</f>
        <v>1.0147231402171997E-2</v>
      </c>
      <c r="N272" s="767">
        <f>IFERROR(Qld!L45-F272,0)</f>
        <v>1.3792204515892692E-2</v>
      </c>
    </row>
    <row r="273" spans="1:14">
      <c r="A273" s="874"/>
      <c r="B273" s="1057"/>
      <c r="C273" s="83" t="s">
        <v>45</v>
      </c>
      <c r="D273" s="104" t="s">
        <v>155</v>
      </c>
      <c r="E273" s="275">
        <f>IFERROR(IF(Qld!$C$3="Yes",Qld!K46,Qld!K46*(1-'Gap data'!$C95)),"")</f>
        <v>23.18</v>
      </c>
      <c r="F273" s="275">
        <f>IFERROR(IF(Qld!$C$3="Yes",Qld!L46,Qld!L46*(1-'Gap data'!$C95)),"")</f>
        <v>10.340001000000001</v>
      </c>
      <c r="G273" s="84"/>
      <c r="H273" s="86" t="s">
        <v>380</v>
      </c>
      <c r="I273" s="87" t="s">
        <v>381</v>
      </c>
      <c r="J273" s="29">
        <f t="shared" ref="J273:K273" si="62">E286</f>
        <v>70.47999999999999</v>
      </c>
      <c r="K273" s="29">
        <f t="shared" si="62"/>
        <v>2.7000010000000003</v>
      </c>
      <c r="M273" s="767">
        <f>IFERROR(Qld!K46-E273,0)</f>
        <v>0</v>
      </c>
      <c r="N273" s="767">
        <f>IFERROR(Qld!L46-F273,0)</f>
        <v>0</v>
      </c>
    </row>
    <row r="274" spans="1:14">
      <c r="A274" s="872" t="s">
        <v>46</v>
      </c>
      <c r="B274" s="1055" t="s">
        <v>156</v>
      </c>
      <c r="C274" s="83" t="s">
        <v>47</v>
      </c>
      <c r="D274" s="104" t="s">
        <v>112</v>
      </c>
      <c r="E274" s="275">
        <f>IFERROR(IF(Qld!$C$3="Yes",Qld!K47,Qld!K47*(1-'Gap data'!$C96)),"")</f>
        <v>22766.545031581987</v>
      </c>
      <c r="F274" s="275">
        <f>IFERROR(IF(Qld!$C$3="Yes",Qld!L47,Qld!L47*(1-'Gap data'!$C96)),"")</f>
        <v>18758.473989979393</v>
      </c>
      <c r="G274" s="84"/>
      <c r="H274" s="86" t="s">
        <v>382</v>
      </c>
      <c r="I274" s="87" t="s">
        <v>383</v>
      </c>
      <c r="J274" s="29">
        <f t="shared" ref="J274:K274" si="63">E282</f>
        <v>422.4395333399379</v>
      </c>
      <c r="K274" s="29">
        <f t="shared" si="63"/>
        <v>376.01577295734796</v>
      </c>
      <c r="M274" s="767">
        <f>IFERROR(Qld!K47-E274,0)</f>
        <v>16312.70696841901</v>
      </c>
      <c r="N274" s="767">
        <f>IFERROR(Qld!L47-F274,0)</f>
        <v>13440.840011022978</v>
      </c>
    </row>
    <row r="275" spans="1:14">
      <c r="A275" s="873"/>
      <c r="B275" s="1056"/>
      <c r="C275" s="83" t="s">
        <v>48</v>
      </c>
      <c r="D275" s="104" t="s">
        <v>157</v>
      </c>
      <c r="E275" s="275">
        <f>IFERROR(IF(Qld!$C$3="Yes",Qld!K48,Qld!K48*(1-'Gap data'!$C97)),"")</f>
        <v>99957.249835161245</v>
      </c>
      <c r="F275" s="275">
        <f>IFERROR(IF(Qld!$C$3="Yes",Qld!L48,Qld!L48*(1-'Gap data'!$C97)),"")</f>
        <v>91228.903181725458</v>
      </c>
      <c r="G275" s="84"/>
      <c r="H275" s="86" t="s">
        <v>384</v>
      </c>
      <c r="I275" s="87" t="s">
        <v>106</v>
      </c>
      <c r="J275" s="29">
        <f t="shared" ref="J275:K275" si="64">E267</f>
        <v>79.717197905628225</v>
      </c>
      <c r="K275" s="29">
        <f t="shared" si="64"/>
        <v>57.890181942531996</v>
      </c>
      <c r="M275" s="767">
        <f>IFERROR(Qld!K48-E275,0)</f>
        <v>9179.6041648394312</v>
      </c>
      <c r="N275" s="767">
        <f>IFERROR(Qld!L48-F275,0)</f>
        <v>8378.0338192749914</v>
      </c>
    </row>
    <row r="276" spans="1:14">
      <c r="A276" s="874"/>
      <c r="B276" s="1057"/>
      <c r="C276" s="83" t="s">
        <v>49</v>
      </c>
      <c r="D276" s="104" t="s">
        <v>158</v>
      </c>
      <c r="E276" s="275">
        <f>IFERROR(IF(Qld!$C$3="Yes",Qld!K49,Qld!K49*(1-'Gap data'!$C98)),"")</f>
        <v>103.91122564470329</v>
      </c>
      <c r="F276" s="275">
        <f>IFERROR(IF(Qld!$C$3="Yes",Qld!L49,Qld!L49*(1-'Gap data'!$C98)),"")</f>
        <v>50.01001621018311</v>
      </c>
      <c r="G276" s="84"/>
      <c r="H276" s="86" t="s">
        <v>385</v>
      </c>
      <c r="I276" s="87" t="s">
        <v>108</v>
      </c>
      <c r="J276" s="29">
        <f t="shared" ref="J276:K276" si="65">E269</f>
        <v>18.750833338042231</v>
      </c>
      <c r="K276" s="29">
        <f t="shared" si="65"/>
        <v>12.968503726240925</v>
      </c>
      <c r="M276" s="767">
        <f>IFERROR(Qld!K49-E276,0)</f>
        <v>17.058774355296705</v>
      </c>
      <c r="N276" s="767">
        <f>IFERROR(Qld!L49-F276,0)</f>
        <v>8.2099847898168861</v>
      </c>
    </row>
    <row r="277" spans="1:14">
      <c r="A277" s="872" t="s">
        <v>50</v>
      </c>
      <c r="B277" s="1055" t="s">
        <v>159</v>
      </c>
      <c r="C277" s="83" t="s">
        <v>51</v>
      </c>
      <c r="D277" s="104" t="s">
        <v>113</v>
      </c>
      <c r="E277" s="275">
        <f>IFERROR(IF(Qld!$C$3="Yes",Qld!K50,Qld!K50*(1-'Gap data'!$C99)),"")</f>
        <v>42289.522191025746</v>
      </c>
      <c r="F277" s="275">
        <f>IFERROR(IF(Qld!$C$3="Yes",Qld!L50,Qld!L50*(1-'Gap data'!$C99)),"")</f>
        <v>35298.716951686707</v>
      </c>
      <c r="G277" s="84"/>
      <c r="H277" s="86" t="s">
        <v>386</v>
      </c>
      <c r="I277" s="87" t="s">
        <v>107</v>
      </c>
      <c r="J277" s="29">
        <f t="shared" ref="J277:K277" si="66">E268</f>
        <v>521.93809159231546</v>
      </c>
      <c r="K277" s="29">
        <f t="shared" si="66"/>
        <v>632.36310263222026</v>
      </c>
      <c r="M277" s="767">
        <f>IFERROR(Qld!K50-E277,0)</f>
        <v>17417.47580897421</v>
      </c>
      <c r="N277" s="767">
        <f>IFERROR(Qld!L50-F277,0)</f>
        <v>14538.224050313358</v>
      </c>
    </row>
    <row r="278" spans="1:14">
      <c r="A278" s="873"/>
      <c r="B278" s="1056"/>
      <c r="C278" s="83" t="s">
        <v>115</v>
      </c>
      <c r="D278" s="104" t="s">
        <v>114</v>
      </c>
      <c r="E278" s="275">
        <f>IFERROR(IF(Qld!$C$3="Yes",Qld!K51,Qld!K51*(1-'Gap data'!$C100)),"")</f>
        <v>76362.259424163145</v>
      </c>
      <c r="F278" s="275">
        <f>IFERROR(IF(Qld!$C$3="Yes",Qld!L51,Qld!L51*(1-'Gap data'!$C100)),"")</f>
        <v>80509.539554983567</v>
      </c>
      <c r="G278" s="84"/>
      <c r="H278" s="86" t="s">
        <v>387</v>
      </c>
      <c r="I278" s="87" t="s">
        <v>388</v>
      </c>
      <c r="J278" s="29">
        <f t="shared" ref="J278:K279" si="67">E284</f>
        <v>0</v>
      </c>
      <c r="K278" s="29">
        <f t="shared" si="67"/>
        <v>9.9999999999999995E-7</v>
      </c>
      <c r="M278" s="767">
        <f>IFERROR(Qld!K51-E278,0)</f>
        <v>1358.2775758403004</v>
      </c>
      <c r="N278" s="767">
        <f>IFERROR(Qld!L51-F278,0)</f>
        <v>1432.0464460243529</v>
      </c>
    </row>
    <row r="279" spans="1:14">
      <c r="A279" s="873"/>
      <c r="B279" s="1056"/>
      <c r="C279" s="83" t="s">
        <v>52</v>
      </c>
      <c r="D279" s="104" t="s">
        <v>116</v>
      </c>
      <c r="E279" s="275">
        <f>IFERROR(IF(Qld!$C$3="Yes",Qld!K52,Qld!K52*(1-'Gap data'!$C101)),"")</f>
        <v>3314.1932695542559</v>
      </c>
      <c r="F279" s="275">
        <f>IFERROR(IF(Qld!$C$3="Yes",Qld!L52,Qld!L52*(1-'Gap data'!$C101)),"")</f>
        <v>2812.3049687230659</v>
      </c>
      <c r="G279" s="84"/>
      <c r="H279" s="86" t="s">
        <v>389</v>
      </c>
      <c r="I279" s="87" t="s">
        <v>390</v>
      </c>
      <c r="J279" s="29">
        <f t="shared" si="67"/>
        <v>0</v>
      </c>
      <c r="K279" s="29">
        <f t="shared" si="67"/>
        <v>9.9999999999999995E-7</v>
      </c>
      <c r="M279" s="767">
        <f>IFERROR(Qld!K52-E279,0)</f>
        <v>11.34273044574411</v>
      </c>
      <c r="N279" s="767">
        <f>IFERROR(Qld!L52-F279,0)</f>
        <v>9.6250322769328704</v>
      </c>
    </row>
    <row r="280" spans="1:14">
      <c r="A280" s="874"/>
      <c r="B280" s="1057"/>
      <c r="C280" s="83" t="s">
        <v>118</v>
      </c>
      <c r="D280" s="104" t="s">
        <v>117</v>
      </c>
      <c r="E280" s="275">
        <f>IFERROR(IF(Qld!$C$3="Yes",Qld!K53,Qld!K53*(1-'Gap data'!$C102)),"")</f>
        <v>0</v>
      </c>
      <c r="F280" s="275">
        <f>IFERROR(IF(Qld!$C$3="Yes",Qld!L53,Qld!L53*(1-'Gap data'!$C102)),"")</f>
        <v>0.10000100000000001</v>
      </c>
      <c r="G280" s="84"/>
      <c r="H280" s="86" t="s">
        <v>391</v>
      </c>
      <c r="I280" s="87" t="s">
        <v>392</v>
      </c>
      <c r="J280" s="29">
        <f t="shared" ref="J280:K280" si="68">E283</f>
        <v>5.8003129364935768</v>
      </c>
      <c r="K280" s="29">
        <f t="shared" si="68"/>
        <v>45.438103139033835</v>
      </c>
      <c r="M280" s="767">
        <f>IFERROR(Qld!K53-E280,0)</f>
        <v>0</v>
      </c>
      <c r="N280" s="767">
        <f>IFERROR(Qld!L53-F280,0)</f>
        <v>0</v>
      </c>
    </row>
    <row r="281" spans="1:14">
      <c r="A281" s="872" t="s">
        <v>53</v>
      </c>
      <c r="B281" s="1055" t="s">
        <v>54</v>
      </c>
      <c r="C281" s="83" t="s">
        <v>55</v>
      </c>
      <c r="D281" s="765" t="s">
        <v>160</v>
      </c>
      <c r="E281" s="275">
        <f>IFERROR(IF(Qld!$C$3="Yes",Qld!K54,Qld!K54*(1-'Gap data'!$C103)),"")</f>
        <v>992.60812573562191</v>
      </c>
      <c r="F281" s="275">
        <f>IFERROR(IF(Qld!$C$3="Yes",Qld!L54,Qld!L54*(1-'Gap data'!$C103)),"")</f>
        <v>1279.2547398268821</v>
      </c>
      <c r="G281" s="84"/>
      <c r="H281" s="93"/>
      <c r="I281" s="101" t="s">
        <v>405</v>
      </c>
      <c r="J281" s="30"/>
      <c r="K281" s="31"/>
      <c r="M281" s="767">
        <f>IFERROR(Qld!K54-E281,0)</f>
        <v>25.383874264378051</v>
      </c>
      <c r="N281" s="767">
        <f>IFERROR(Qld!L54-F281,0)</f>
        <v>32.714261173118985</v>
      </c>
    </row>
    <row r="282" spans="1:14">
      <c r="A282" s="873"/>
      <c r="B282" s="1056"/>
      <c r="C282" s="83" t="s">
        <v>56</v>
      </c>
      <c r="D282" s="104" t="s">
        <v>161</v>
      </c>
      <c r="E282" s="275">
        <f>IFERROR(IF(Qld!$C$3="Yes",Qld!K55,Qld!K55*(1-'Gap data'!$C104)),"")</f>
        <v>422.4395333399379</v>
      </c>
      <c r="F282" s="275">
        <f>IFERROR(IF(Qld!$C$3="Yes",Qld!L55,Qld!L55*(1-'Gap data'!$C104)),"")</f>
        <v>376.01577295734796</v>
      </c>
      <c r="G282" s="84"/>
      <c r="H282" s="86" t="s">
        <v>393</v>
      </c>
      <c r="I282" s="87" t="s">
        <v>394</v>
      </c>
      <c r="J282" s="99">
        <f>'Gap data'!$B$23*'Gap data'!E12</f>
        <v>1363288.3678726112</v>
      </c>
      <c r="K282" s="286">
        <f>'Gap data'!$B$23*'Gap data'!E13</f>
        <v>1372694.2739254266</v>
      </c>
      <c r="M282" s="767">
        <f>IFERROR(Qld!K55-E282,0)</f>
        <v>0.12046666006210671</v>
      </c>
      <c r="N282" s="767">
        <f>IFERROR(Qld!L55-F282,0)</f>
        <v>0.10722804265196828</v>
      </c>
    </row>
    <row r="283" spans="1:14">
      <c r="A283" s="873"/>
      <c r="B283" s="1056"/>
      <c r="C283" s="83" t="s">
        <v>57</v>
      </c>
      <c r="D283" s="104" t="s">
        <v>162</v>
      </c>
      <c r="E283" s="275">
        <f>IFERROR(IF(Qld!$C$3="Yes",Qld!K56,Qld!K56*(1-'Gap data'!$C105)),"")</f>
        <v>5.8003129364935768</v>
      </c>
      <c r="F283" s="275">
        <f>IFERROR(IF(Qld!$C$3="Yes",Qld!L56,Qld!L56*(1-'Gap data'!$C105)),"")</f>
        <v>45.438103139033835</v>
      </c>
      <c r="G283" s="84"/>
      <c r="H283" s="86" t="s">
        <v>395</v>
      </c>
      <c r="I283" s="87" t="s">
        <v>396</v>
      </c>
      <c r="J283" s="286">
        <f>Qld!P56</f>
        <v>0</v>
      </c>
      <c r="K283" s="286">
        <f>Qld!Q56</f>
        <v>0</v>
      </c>
      <c r="M283" s="767">
        <f>IFERROR(Qld!K56-E283,0)</f>
        <v>3.9687063506423037E-2</v>
      </c>
      <c r="N283" s="767">
        <f>IFERROR(Qld!L56-F283,0)</f>
        <v>0.31089786096616479</v>
      </c>
    </row>
    <row r="284" spans="1:14">
      <c r="A284" s="873"/>
      <c r="B284" s="1056"/>
      <c r="C284" s="83" t="s">
        <v>120</v>
      </c>
      <c r="D284" s="104" t="s">
        <v>119</v>
      </c>
      <c r="E284" s="275">
        <f>IFERROR(IF(Qld!$C$3="Yes",Qld!K57,Qld!K57*(1-'Gap data'!$C106)),"")</f>
        <v>0</v>
      </c>
      <c r="F284" s="275">
        <f>IFERROR(IF(Qld!$C$3="Yes",Qld!L57,Qld!L57*(1-'Gap data'!$C106)),"")</f>
        <v>9.9999999999999995E-7</v>
      </c>
      <c r="G284" s="84"/>
      <c r="H284" s="100"/>
      <c r="I284" s="101" t="s">
        <v>408</v>
      </c>
      <c r="J284" s="33"/>
      <c r="K284" s="34"/>
      <c r="M284" s="767">
        <f>IFERROR(Qld!K57-E284,0)</f>
        <v>0</v>
      </c>
      <c r="N284" s="767">
        <f>IFERROR(Qld!L57-F284,0)</f>
        <v>0</v>
      </c>
    </row>
    <row r="285" spans="1:14">
      <c r="A285" s="873"/>
      <c r="B285" s="1056"/>
      <c r="C285" s="83" t="s">
        <v>122</v>
      </c>
      <c r="D285" s="104" t="s">
        <v>121</v>
      </c>
      <c r="E285" s="275">
        <f>IFERROR(IF(Qld!$C$3="Yes",Qld!K58,Qld!K58*(1-'Gap data'!$C107)),"")</f>
        <v>0</v>
      </c>
      <c r="F285" s="275">
        <f>IFERROR(IF(Qld!$C$3="Yes",Qld!L58,Qld!L58*(1-'Gap data'!$C107)),"")</f>
        <v>9.9999999999999995E-7</v>
      </c>
      <c r="G285" s="84"/>
      <c r="H285" s="89">
        <v>1</v>
      </c>
      <c r="I285" s="104" t="s">
        <v>397</v>
      </c>
      <c r="J285" s="85">
        <f>SUM(E250:E251,E256:E257)</f>
        <v>68.970137331980638</v>
      </c>
      <c r="K285" s="85">
        <f>SUM(F250:F251,F256:F257)</f>
        <v>110.969870401807</v>
      </c>
      <c r="M285" s="767">
        <f>IFERROR(Qld!K58-E285,0)</f>
        <v>0</v>
      </c>
      <c r="N285" s="767">
        <f>IFERROR(Qld!L58-F285,0)</f>
        <v>0</v>
      </c>
    </row>
    <row r="286" spans="1:14">
      <c r="A286" s="873"/>
      <c r="B286" s="1056"/>
      <c r="C286" s="83" t="s">
        <v>124</v>
      </c>
      <c r="D286" s="104" t="s">
        <v>123</v>
      </c>
      <c r="E286" s="275">
        <f>IFERROR(IF(Qld!$C$3="Yes",Qld!K59,Qld!K59*(1-'Gap data'!$C108)),"")</f>
        <v>70.47999999999999</v>
      </c>
      <c r="F286" s="275">
        <f>IFERROR(IF(Qld!$C$3="Yes",Qld!L59,Qld!L59*(1-'Gap data'!$C108)),"")</f>
        <v>2.7000010000000003</v>
      </c>
      <c r="G286" s="84"/>
      <c r="H286" s="89">
        <v>2</v>
      </c>
      <c r="I286" s="104" t="s">
        <v>398</v>
      </c>
      <c r="J286" s="85">
        <f>SUM(E258:E260,E263)</f>
        <v>14579.686938735398</v>
      </c>
      <c r="K286" s="85">
        <f>SUM(F258:F260,F263)</f>
        <v>10247.970991542295</v>
      </c>
      <c r="M286" s="767">
        <f>IFERROR(Qld!K59-E286,0)</f>
        <v>0</v>
      </c>
      <c r="N286" s="767">
        <f>IFERROR(Qld!L59-F286,0)</f>
        <v>0</v>
      </c>
    </row>
    <row r="287" spans="1:14">
      <c r="A287" s="873"/>
      <c r="B287" s="1056"/>
      <c r="C287" s="83" t="s">
        <v>58</v>
      </c>
      <c r="D287" s="104" t="s">
        <v>136</v>
      </c>
      <c r="E287" s="275">
        <f>IFERROR(IF(Qld!$C$3="Yes",Qld!K60,Qld!K60*(1-'Gap data'!$C109)),"")</f>
        <v>45.944183874284036</v>
      </c>
      <c r="F287" s="275">
        <f>IFERROR(IF(Qld!$C$3="Yes",Qld!L60,Qld!L60*(1-'Gap data'!$C109)),"")</f>
        <v>144.50750865530915</v>
      </c>
      <c r="G287" s="84"/>
      <c r="H287" s="89">
        <v>3</v>
      </c>
      <c r="I287" s="104" t="s">
        <v>323</v>
      </c>
      <c r="J287" s="85">
        <f>SUM(E287:E290)</f>
        <v>382.20130525690814</v>
      </c>
      <c r="K287" s="85">
        <f>SUM(F287:F290)</f>
        <v>419.09486422655539</v>
      </c>
      <c r="M287" s="767">
        <f>IFERROR(Qld!K60-E287,0)</f>
        <v>2.6778161257159638</v>
      </c>
      <c r="N287" s="767">
        <f>IFERROR(Qld!L60-F287,0)</f>
        <v>8.422492344690852</v>
      </c>
    </row>
    <row r="288" spans="1:14">
      <c r="A288" s="873"/>
      <c r="B288" s="1056"/>
      <c r="C288" s="83" t="s">
        <v>59</v>
      </c>
      <c r="D288" s="104" t="s">
        <v>125</v>
      </c>
      <c r="E288" s="275">
        <f>IFERROR(IF(Qld!$C$3="Yes",Qld!K61,Qld!K61*(1-'Gap data'!$C110)),"")</f>
        <v>215.35399999999998</v>
      </c>
      <c r="F288" s="275">
        <f>IFERROR(IF(Qld!$C$3="Yes",Qld!L61,Qld!L61*(1-'Gap data'!$C110)),"")</f>
        <v>106.52000099999999</v>
      </c>
      <c r="G288" s="84"/>
      <c r="H288" s="89">
        <v>4</v>
      </c>
      <c r="I288" s="104" t="s">
        <v>159</v>
      </c>
      <c r="J288" s="85">
        <f t="shared" ref="J288" si="69">SUM(E277:E280)</f>
        <v>121965.97488474315</v>
      </c>
      <c r="K288" s="85">
        <f>SUM(F277:F280)</f>
        <v>118620.66147639333</v>
      </c>
      <c r="M288" s="767">
        <f>IFERROR(Qld!K61-E288,0)</f>
        <v>0</v>
      </c>
      <c r="N288" s="767">
        <f>IFERROR(Qld!L61-F288,0)</f>
        <v>0</v>
      </c>
    </row>
    <row r="289" spans="1:14">
      <c r="A289" s="873"/>
      <c r="B289" s="1056"/>
      <c r="C289" s="83" t="s">
        <v>60</v>
      </c>
      <c r="D289" s="765" t="s">
        <v>163</v>
      </c>
      <c r="E289" s="275">
        <f>IFERROR(IF(Qld!$C$3="Yes",Qld!K62,Qld!K62*(1-'Gap data'!$C111)),"")</f>
        <v>117.25764889064655</v>
      </c>
      <c r="F289" s="275">
        <f>IFERROR(IF(Qld!$C$3="Yes",Qld!L62,Qld!L62*(1-'Gap data'!$C111)),"")</f>
        <v>168.0673535724867</v>
      </c>
      <c r="G289" s="84"/>
      <c r="H289" s="89">
        <v>5</v>
      </c>
      <c r="I289" s="104" t="s">
        <v>399</v>
      </c>
      <c r="J289" s="85" t="str">
        <f>E291</f>
        <v/>
      </c>
      <c r="K289" s="85" t="str">
        <f>F291</f>
        <v/>
      </c>
      <c r="M289" s="767">
        <f>IFERROR(Qld!K62-E289,0)</f>
        <v>45.60935110935344</v>
      </c>
      <c r="N289" s="767">
        <f>IFERROR(Qld!L62-F289,0)</f>
        <v>65.372647427513385</v>
      </c>
    </row>
    <row r="290" spans="1:14">
      <c r="A290" s="874"/>
      <c r="B290" s="1057"/>
      <c r="C290" s="83" t="s">
        <v>61</v>
      </c>
      <c r="D290" s="104" t="s">
        <v>126</v>
      </c>
      <c r="E290" s="275">
        <f>IFERROR(IF(Qld!$C$3="Yes",Qld!K63,Qld!K63*(1-'Gap data'!$C112)),"")</f>
        <v>3.6454724919776278</v>
      </c>
      <c r="F290" s="275">
        <f>IFERROR(IF(Qld!$C$3="Yes",Qld!L63,Qld!L63*(1-'Gap data'!$C112)),"")</f>
        <v>9.9875958684318574E-7</v>
      </c>
      <c r="G290" s="84"/>
      <c r="H290" s="89">
        <v>6</v>
      </c>
      <c r="I290" s="105" t="s">
        <v>462</v>
      </c>
      <c r="J290" s="763">
        <f t="shared" ref="J290" si="70">E292</f>
        <v>163384.5</v>
      </c>
      <c r="K290" s="763">
        <f t="shared" ref="K290" si="71">F292</f>
        <v>161200.5</v>
      </c>
      <c r="M290" s="767">
        <f>IFERROR(Qld!K63-E290,0)</f>
        <v>4.5275080223721176E-3</v>
      </c>
      <c r="N290" s="767">
        <f>IFERROR(Qld!L63-F290,0)</f>
        <v>1.2404131568142196E-9</v>
      </c>
    </row>
    <row r="291" spans="1:14">
      <c r="A291" s="872" t="s">
        <v>62</v>
      </c>
      <c r="B291" s="1055" t="s">
        <v>164</v>
      </c>
      <c r="C291" s="83" t="s">
        <v>63</v>
      </c>
      <c r="D291" s="104" t="s">
        <v>165</v>
      </c>
      <c r="E291" s="275" t="str">
        <f>IFERROR(IF(Qld!$C$3="Yes",Qld!K64,Qld!K64*(1-'Gap data'!$C113)),"")</f>
        <v/>
      </c>
      <c r="F291" s="275" t="str">
        <f>IFERROR(IF(Qld!$C$3="Yes",Qld!L64,Qld!L64*(1-'Gap data'!$C113)),"")</f>
        <v/>
      </c>
      <c r="H291" s="89">
        <v>7</v>
      </c>
      <c r="I291" s="105" t="s">
        <v>463</v>
      </c>
      <c r="J291" s="763">
        <f>SUM(E293,E296)</f>
        <v>3864.2215714285703</v>
      </c>
      <c r="K291" s="763">
        <f>SUM(F293,F296)</f>
        <v>4168.192858999997</v>
      </c>
      <c r="M291" s="767">
        <f>IFERROR(Qld!K64-E291,0)</f>
        <v>0</v>
      </c>
      <c r="N291" s="767">
        <f>IFERROR(Qld!L64-F291,0)</f>
        <v>0</v>
      </c>
    </row>
    <row r="292" spans="1:14">
      <c r="A292" s="873"/>
      <c r="B292" s="1056"/>
      <c r="C292" s="83" t="s">
        <v>64</v>
      </c>
      <c r="D292" s="104" t="s">
        <v>127</v>
      </c>
      <c r="E292" s="275">
        <f>Qld!K65</f>
        <v>163384.5</v>
      </c>
      <c r="F292" s="275">
        <f>Qld!L65</f>
        <v>161200.5</v>
      </c>
      <c r="G292" s="760" t="str">
        <f>G272</f>
        <v>Qld</v>
      </c>
      <c r="H292" s="89">
        <v>8</v>
      </c>
      <c r="I292" s="104" t="s">
        <v>133</v>
      </c>
      <c r="J292" s="85">
        <f>E305</f>
        <v>45455.5</v>
      </c>
      <c r="K292" s="85">
        <f>F305</f>
        <v>45455.5</v>
      </c>
      <c r="M292" s="767">
        <f>IFERROR(Qld!K65-E292,0)</f>
        <v>0</v>
      </c>
      <c r="N292" s="767">
        <f>IFERROR(Qld!L65-F292,0)</f>
        <v>0</v>
      </c>
    </row>
    <row r="293" spans="1:14">
      <c r="A293" s="873"/>
      <c r="B293" s="1056"/>
      <c r="C293" s="83" t="s">
        <v>65</v>
      </c>
      <c r="D293" s="104" t="s">
        <v>166</v>
      </c>
      <c r="E293" s="275">
        <f>IFERROR(IF(Qld!$C$3="Yes",Qld!K66,Qld!K66*(1-'Gap data'!$C115)),"")</f>
        <v>314.21657142857134</v>
      </c>
      <c r="F293" s="275">
        <f>IFERROR(IF(Qld!$C$3="Yes",Qld!L66,Qld!L66*(1-'Gap data'!$C115)),"")</f>
        <v>472.90285800000004</v>
      </c>
      <c r="G293" s="766"/>
      <c r="K293" s="767"/>
      <c r="M293" s="767">
        <f>IFERROR(Qld!K66-E293,0)</f>
        <v>52.369428571428557</v>
      </c>
      <c r="N293" s="767">
        <f>IFERROR(Qld!L66-F293,0)</f>
        <v>78.817142999999987</v>
      </c>
    </row>
    <row r="294" spans="1:14">
      <c r="A294" s="873"/>
      <c r="B294" s="1056"/>
      <c r="C294" s="83" t="s">
        <v>66</v>
      </c>
      <c r="D294" s="104" t="s">
        <v>173</v>
      </c>
      <c r="E294" s="275">
        <f>IFERROR(IF(Qld!$C$3="Yes",Qld!K67,Qld!K67*(1-'Gap data'!$C116)),"")</f>
        <v>2437.3424556883142</v>
      </c>
      <c r="F294" s="275">
        <f>IFERROR(IF(Qld!$C$3="Yes",Qld!L67,Qld!L67*(1-'Gap data'!$C116)),"")</f>
        <v>4079.6653706656643</v>
      </c>
      <c r="G294" s="766"/>
      <c r="M294" s="767">
        <f>IFERROR(Qld!K67-E294,0)</f>
        <v>0.66054431168549854</v>
      </c>
      <c r="N294" s="767">
        <f>IFERROR(Qld!L67-F294,0)</f>
        <v>1.1056303343361833</v>
      </c>
    </row>
    <row r="295" spans="1:14">
      <c r="A295" s="873"/>
      <c r="B295" s="1056"/>
      <c r="C295" s="83" t="s">
        <v>67</v>
      </c>
      <c r="D295" s="104" t="s">
        <v>174</v>
      </c>
      <c r="E295" s="275">
        <f>IFERROR(IF(Qld!$C$3="Yes",Qld!K68,Qld!K68*(1-'Gap data'!$C117)),"")</f>
        <v>6160.8679907984388</v>
      </c>
      <c r="F295" s="275">
        <f>IFERROR(IF(Qld!$C$3="Yes",Qld!L68,Qld!L68*(1-'Gap data'!$C117)),"")</f>
        <v>5005.0966973398445</v>
      </c>
      <c r="G295" s="766"/>
      <c r="M295" s="767">
        <f>IFERROR(Qld!K68-E295,0)</f>
        <v>60.276009201560555</v>
      </c>
      <c r="N295" s="767">
        <f>IFERROR(Qld!L68-F295,0)</f>
        <v>48.96830366015638</v>
      </c>
    </row>
    <row r="296" spans="1:14">
      <c r="A296" s="873"/>
      <c r="B296" s="1056"/>
      <c r="C296" s="83" t="s">
        <v>68</v>
      </c>
      <c r="D296" s="104" t="s">
        <v>175</v>
      </c>
      <c r="E296" s="275">
        <f>IFERROR(IF(Qld!$C$3="Yes",Qld!K69,Qld!K69*(1-'Gap data'!$C118)),"")</f>
        <v>3550.0049999999992</v>
      </c>
      <c r="F296" s="275">
        <f>IFERROR(IF(Qld!$C$3="Yes",Qld!L69,Qld!L69*(1-'Gap data'!$C118)),"")</f>
        <v>3695.2900009999971</v>
      </c>
      <c r="G296" s="766"/>
      <c r="M296" s="767">
        <f>IFERROR(Qld!K69-E296,0)</f>
        <v>0</v>
      </c>
      <c r="N296" s="767">
        <f>IFERROR(Qld!L69-F296,0)</f>
        <v>0</v>
      </c>
    </row>
    <row r="297" spans="1:14">
      <c r="A297" s="873"/>
      <c r="B297" s="1056"/>
      <c r="C297" s="83" t="s">
        <v>128</v>
      </c>
      <c r="D297" s="104" t="s">
        <v>167</v>
      </c>
      <c r="E297" s="286">
        <f>IF(ISNUMBER(Qld!K70),Qld!K70*IF(Qld!$C$3="Yes",1,1-'Gap data'!$C119),0)+'Gap data'!$E$35</f>
        <v>234037.11269279709</v>
      </c>
      <c r="F297" s="286">
        <f>IF(ISNUMBER(Qld!L70),Qld!L70*IF(Qld!$C$3="Yes",1,1-'Gap data'!$C119),0)+'Gap data'!$E$35</f>
        <v>235636.55476923558</v>
      </c>
      <c r="G297" s="766"/>
      <c r="M297" s="767"/>
      <c r="N297" s="767"/>
    </row>
    <row r="298" spans="1:14">
      <c r="A298" s="873"/>
      <c r="B298" s="1056"/>
      <c r="C298" s="83" t="s">
        <v>69</v>
      </c>
      <c r="D298" s="104" t="s">
        <v>129</v>
      </c>
      <c r="E298" s="275">
        <f>IFERROR(IF(Qld!$C$3="Yes",Qld!K71,Qld!K71*(1-'Gap data'!$C120)),"")</f>
        <v>74881.779073676109</v>
      </c>
      <c r="F298" s="275">
        <f>IFERROR(IF(Qld!$C$3="Yes",Qld!L71,Qld!L71*(1-'Gap data'!$C120)),"")</f>
        <v>84602.488931903892</v>
      </c>
      <c r="G298" s="766"/>
      <c r="M298" s="767">
        <f>IFERROR(Qld!K71-E298,0)</f>
        <v>25.321926323958905</v>
      </c>
      <c r="N298" s="767">
        <f>IFERROR(Qld!L71-F298,0)</f>
        <v>28.609069096084568</v>
      </c>
    </row>
    <row r="299" spans="1:14">
      <c r="A299" s="874"/>
      <c r="B299" s="1057"/>
      <c r="C299" s="83" t="s">
        <v>70</v>
      </c>
      <c r="D299" s="104" t="s">
        <v>168</v>
      </c>
      <c r="E299" s="280"/>
      <c r="F299" s="280"/>
      <c r="G299" s="766"/>
      <c r="M299" s="767">
        <f>IFERROR(Qld!K72-E299,0)</f>
        <v>0</v>
      </c>
      <c r="N299" s="767">
        <f>IFERROR(Qld!L72-F299,0)</f>
        <v>0</v>
      </c>
    </row>
    <row r="300" spans="1:14">
      <c r="A300" s="872" t="s">
        <v>71</v>
      </c>
      <c r="B300" s="1055" t="s">
        <v>169</v>
      </c>
      <c r="C300" s="83" t="s">
        <v>72</v>
      </c>
      <c r="D300" s="104" t="s">
        <v>170</v>
      </c>
      <c r="E300" s="275">
        <f>IFERROR(IF(Qld!$C$3="Yes",Qld!K73,Qld!K73*(1-'Gap data'!$C122)),"")</f>
        <v>13666.266768775475</v>
      </c>
      <c r="F300" s="275">
        <f>IFERROR(IF(Qld!$C$3="Yes",Qld!L73,Qld!L73*(1-'Gap data'!$C122)),"")</f>
        <v>12370.490843215635</v>
      </c>
      <c r="G300" s="766"/>
      <c r="M300" s="767">
        <f>IFERROR(Qld!K73-E300,0)</f>
        <v>563.93723122504707</v>
      </c>
      <c r="N300" s="767">
        <f>IFERROR(Qld!L73-F300,0)</f>
        <v>510.46715778715225</v>
      </c>
    </row>
    <row r="301" spans="1:14">
      <c r="A301" s="873"/>
      <c r="B301" s="1056"/>
      <c r="C301" s="83" t="s">
        <v>73</v>
      </c>
      <c r="D301" s="104" t="s">
        <v>130</v>
      </c>
      <c r="E301" s="275">
        <f>IFERROR(IF(Qld!$C$3="Yes",Qld!K74,Qld!K74*(1-'Gap data'!$C123)),"")</f>
        <v>755.68065786627301</v>
      </c>
      <c r="F301" s="275">
        <f>IFERROR(IF(Qld!$C$3="Yes",Qld!L74,Qld!L74*(1-'Gap data'!$C123)),"")</f>
        <v>536.68946760481379</v>
      </c>
      <c r="G301" s="766"/>
      <c r="M301" s="767">
        <f>IFERROR(Qld!K74-E301,0)</f>
        <v>17.370342133726808</v>
      </c>
      <c r="N301" s="767">
        <f>IFERROR(Qld!L74-F301,0)</f>
        <v>12.336533395185938</v>
      </c>
    </row>
    <row r="302" spans="1:14">
      <c r="A302" s="874"/>
      <c r="B302" s="1057"/>
      <c r="C302" s="83" t="s">
        <v>74</v>
      </c>
      <c r="D302" s="104" t="s">
        <v>131</v>
      </c>
      <c r="E302" s="275">
        <f>IFERROR(IF(Qld!$C$3="Yes",Qld!K75,Qld!K75*(1-'Gap data'!$C124)),"")</f>
        <v>17.515574883524572</v>
      </c>
      <c r="F302" s="275">
        <f>IFERROR(IF(Qld!$C$3="Yes",Qld!L75,Qld!L75*(1-'Gap data'!$C124)),"")</f>
        <v>333.50695108322913</v>
      </c>
      <c r="G302" s="766"/>
      <c r="M302" s="767">
        <f>IFERROR(Qld!K75-E302,0)</f>
        <v>1.9454251164754304</v>
      </c>
      <c r="N302" s="767">
        <f>IFERROR(Qld!L75-F302,0)</f>
        <v>37.042049916770964</v>
      </c>
    </row>
    <row r="303" spans="1:14">
      <c r="A303" s="872" t="s">
        <v>75</v>
      </c>
      <c r="B303" s="1055" t="s">
        <v>76</v>
      </c>
      <c r="C303" s="83" t="s">
        <v>77</v>
      </c>
      <c r="D303" s="765" t="s">
        <v>171</v>
      </c>
      <c r="E303" s="275">
        <f>IFERROR(IF(Qld!$C$3="Yes",Qld!K76,Qld!K76*(1-'Gap data'!$C125)),"")</f>
        <v>207.05133174031718</v>
      </c>
      <c r="F303" s="275">
        <f>IFERROR(IF(Qld!$C$3="Yes",Qld!L76,Qld!L76*(1-'Gap data'!$C125)),"")</f>
        <v>276.50272486073828</v>
      </c>
      <c r="G303" s="766"/>
      <c r="M303" s="767">
        <f>IFERROR(Qld!K76-E303,0)</f>
        <v>69.473668259682796</v>
      </c>
      <c r="N303" s="767">
        <f>IFERROR(Qld!L76-F303,0)</f>
        <v>92.77727613926163</v>
      </c>
    </row>
    <row r="304" spans="1:14">
      <c r="A304" s="873"/>
      <c r="B304" s="1056"/>
      <c r="C304" s="83" t="s">
        <v>78</v>
      </c>
      <c r="D304" s="104" t="s">
        <v>132</v>
      </c>
      <c r="E304" s="275">
        <f>IFERROR(IF(Qld!$C$3="Yes",Qld!K77,Qld!K77*(1-'Gap data'!$C126)),"")</f>
        <v>64.325527700060661</v>
      </c>
      <c r="F304" s="275">
        <f>IFERROR(IF(Qld!$C$3="Yes",Qld!L77,Qld!L77*(1-'Gap data'!$C126)),"")</f>
        <v>79.010663574371279</v>
      </c>
      <c r="G304" s="766"/>
      <c r="M304" s="767">
        <f>IFERROR(Qld!K77-E304,0)</f>
        <v>0.8754722999393465</v>
      </c>
      <c r="N304" s="767">
        <f>IFERROR(Qld!L77-F304,0)</f>
        <v>1.0753374256286747</v>
      </c>
    </row>
    <row r="305" spans="1:14">
      <c r="A305" s="873"/>
      <c r="B305" s="1056"/>
      <c r="C305" s="83" t="s">
        <v>134</v>
      </c>
      <c r="D305" s="104" t="s">
        <v>133</v>
      </c>
      <c r="E305" s="286">
        <f>'Gap data'!E42</f>
        <v>45455.5</v>
      </c>
      <c r="F305" s="286">
        <f>'Gap data'!E42</f>
        <v>45455.5</v>
      </c>
      <c r="G305" s="766"/>
      <c r="M305" s="767"/>
      <c r="N305" s="767"/>
    </row>
    <row r="306" spans="1:14">
      <c r="A306" s="874"/>
      <c r="B306" s="1057"/>
      <c r="C306" s="83" t="s">
        <v>172</v>
      </c>
      <c r="D306" s="104" t="s">
        <v>135</v>
      </c>
      <c r="E306" s="275">
        <f>IFERROR(IF(Qld!$C$3="Yes",Qld!K79,Qld!K79*(1-'Gap data'!$C128)),"")</f>
        <v>542.78579023855832</v>
      </c>
      <c r="F306" s="275">
        <f>IFERROR(IF(Qld!$C$3="Yes",Qld!L79,Qld!L79*(1-'Gap data'!$C128)),"")</f>
        <v>297.84489284467872</v>
      </c>
      <c r="G306" s="766"/>
      <c r="M306" s="767">
        <f>IFERROR(Qld!K79-E306,0)</f>
        <v>9.2852097614417062</v>
      </c>
      <c r="N306" s="767">
        <f>IFERROR(Qld!L79-F306,0)</f>
        <v>5.0951081553212703</v>
      </c>
    </row>
    <row r="307" spans="1:14">
      <c r="G307" s="766"/>
      <c r="H307" s="766"/>
      <c r="I307" s="766"/>
      <c r="J307" s="766"/>
      <c r="K307" s="766"/>
    </row>
    <row r="308" spans="1:14" s="625" customFormat="1" ht="15.75">
      <c r="A308" s="625" t="s">
        <v>449</v>
      </c>
      <c r="D308" s="758"/>
      <c r="H308" s="625" t="str">
        <f>A308</f>
        <v>Adjusted SA data</v>
      </c>
      <c r="I308" s="758"/>
    </row>
    <row r="309" spans="1:14">
      <c r="G309" s="109"/>
    </row>
    <row r="310" spans="1:14">
      <c r="A310" s="872" t="s">
        <v>3</v>
      </c>
      <c r="B310" s="1058" t="s">
        <v>137</v>
      </c>
      <c r="C310" s="768" t="s">
        <v>4</v>
      </c>
      <c r="D310" s="769" t="s">
        <v>79</v>
      </c>
      <c r="E310" s="275">
        <f>IFERROR(IF(SA!$C$3="Yes",SA!K8,SA!K8*(1-'Gap data'!$C57)),"")</f>
        <v>117.64</v>
      </c>
      <c r="F310" s="275">
        <f>IFERROR(IF(SA!$C$3="Yes",SA!L8,SA!L8*(1-'Gap data'!$C57)),"")</f>
        <v>115.79</v>
      </c>
      <c r="G310" s="84"/>
      <c r="H310" s="86" t="s">
        <v>324</v>
      </c>
      <c r="I310" s="87" t="s">
        <v>325</v>
      </c>
      <c r="J310" s="88">
        <f>E375</f>
        <v>2693.4068173841956</v>
      </c>
      <c r="K310" s="88">
        <f>F375</f>
        <v>3291.4582792549631</v>
      </c>
      <c r="M310" s="767">
        <f>IFERROR(SA!K8-E310,0)</f>
        <v>0</v>
      </c>
      <c r="N310" s="767">
        <f>IFERROR(SA!L8-F310,0)</f>
        <v>0</v>
      </c>
    </row>
    <row r="311" spans="1:14">
      <c r="A311" s="873"/>
      <c r="B311" s="1059"/>
      <c r="C311" s="768" t="s">
        <v>138</v>
      </c>
      <c r="D311" s="769" t="s">
        <v>139</v>
      </c>
      <c r="E311" s="275">
        <f>IFERROR(IF(SA!$C$3="Yes",SA!K9,SA!K9*(1-'Gap data'!$C58)),"")</f>
        <v>0.5</v>
      </c>
      <c r="F311" s="275">
        <f>IFERROR(IF(SA!$C$3="Yes",SA!L9,SA!L9*(1-'Gap data'!$C58)),"")</f>
        <v>2.16</v>
      </c>
      <c r="G311" s="84"/>
      <c r="H311" s="86" t="s">
        <v>326</v>
      </c>
      <c r="I311" s="87" t="s">
        <v>327</v>
      </c>
      <c r="J311" s="88">
        <f>E377</f>
        <v>3.8791494654946246</v>
      </c>
      <c r="K311" s="88">
        <f>F377</f>
        <v>5.9942309606019029</v>
      </c>
      <c r="M311" s="767">
        <f>IFERROR(SA!K9-E311,0)</f>
        <v>0</v>
      </c>
      <c r="N311" s="767">
        <f>IFERROR(SA!L9-F311,0)</f>
        <v>0</v>
      </c>
    </row>
    <row r="312" spans="1:14">
      <c r="A312" s="874"/>
      <c r="B312" s="1060"/>
      <c r="C312" s="768" t="s">
        <v>81</v>
      </c>
      <c r="D312" s="769" t="s">
        <v>80</v>
      </c>
      <c r="E312" s="275">
        <f>IFERROR(IF(SA!$C$3="Yes",SA!K10,SA!K10*(1-'Gap data'!$C59)),"")</f>
        <v>2.9642615664577963</v>
      </c>
      <c r="F312" s="275">
        <f>IFERROR(IF(SA!$C$3="Yes",SA!L10,SA!L10*(1-'Gap data'!$C59)),"")</f>
        <v>5.9186750878443046</v>
      </c>
      <c r="G312" s="84"/>
      <c r="H312" s="86" t="s">
        <v>328</v>
      </c>
      <c r="I312" s="87" t="s">
        <v>130</v>
      </c>
      <c r="J312" s="88">
        <f>E376</f>
        <v>422.13661879096122</v>
      </c>
      <c r="K312" s="88">
        <f>F376</f>
        <v>334.91160375132284</v>
      </c>
      <c r="M312" s="767">
        <f>IFERROR(SA!K10-E312,0)</f>
        <v>4.5738433542203527E-2</v>
      </c>
      <c r="N312" s="767">
        <f>IFERROR(SA!L10-F312,0)</f>
        <v>9.1324912155695159E-2</v>
      </c>
    </row>
    <row r="313" spans="1:14">
      <c r="A313" s="90" t="s">
        <v>5</v>
      </c>
      <c r="B313" s="187" t="s">
        <v>6</v>
      </c>
      <c r="C313" s="768" t="s">
        <v>7</v>
      </c>
      <c r="D313" s="769" t="s">
        <v>82</v>
      </c>
      <c r="E313" s="275">
        <f>IFERROR(IF(SA!$C$3="Yes",SA!K11,SA!K11*(1-'Gap data'!$C60)),"")</f>
        <v>279.03919648864894</v>
      </c>
      <c r="F313" s="275">
        <f>IFERROR(IF(SA!$C$3="Yes",SA!L11,SA!L11*(1-'Gap data'!$C60)),"")</f>
        <v>512.49958506131895</v>
      </c>
      <c r="G313" s="84"/>
      <c r="H313" s="86" t="s">
        <v>329</v>
      </c>
      <c r="I313" s="87" t="s">
        <v>330</v>
      </c>
      <c r="J313" s="88">
        <f>E346</f>
        <v>7.3114578478942205</v>
      </c>
      <c r="K313" s="88">
        <f>F346</f>
        <v>3.9553788357460533</v>
      </c>
      <c r="M313" s="767">
        <f>IFERROR(SA!K11-E313,0)</f>
        <v>3.1908035113510778</v>
      </c>
      <c r="N313" s="767">
        <f>IFERROR(SA!L11-F313,0)</f>
        <v>5.8604149386810604</v>
      </c>
    </row>
    <row r="314" spans="1:14">
      <c r="A314" s="90" t="s">
        <v>8</v>
      </c>
      <c r="B314" s="187" t="s">
        <v>140</v>
      </c>
      <c r="C314" s="768" t="s">
        <v>9</v>
      </c>
      <c r="D314" s="769" t="s">
        <v>83</v>
      </c>
      <c r="E314" s="275">
        <f>IFERROR(IF(SA!$C$3="Yes",SA!K12,SA!K12*(1-'Gap data'!$C61)),"")</f>
        <v>8491.1240378698803</v>
      </c>
      <c r="F314" s="275">
        <f>IFERROR(IF(SA!$C$3="Yes",SA!L12,SA!L12*(1-'Gap data'!$C61)),"")</f>
        <v>9731.130609069096</v>
      </c>
      <c r="G314" s="84"/>
      <c r="H314" s="86" t="s">
        <v>331</v>
      </c>
      <c r="I314" s="87" t="s">
        <v>332</v>
      </c>
      <c r="J314" s="88">
        <f>E348</f>
        <v>60.49</v>
      </c>
      <c r="K314" s="88">
        <f>F348</f>
        <v>53.93</v>
      </c>
      <c r="M314" s="767">
        <f>IFERROR(SA!K12-E314,0)</f>
        <v>12.136962130120082</v>
      </c>
      <c r="N314" s="767">
        <f>IFERROR(SA!L12-F314,0)</f>
        <v>13.90939093090492</v>
      </c>
    </row>
    <row r="315" spans="1:14">
      <c r="A315" s="872" t="s">
        <v>10</v>
      </c>
      <c r="B315" s="1058" t="s">
        <v>11</v>
      </c>
      <c r="C315" s="768" t="s">
        <v>12</v>
      </c>
      <c r="D315" s="769" t="s">
        <v>84</v>
      </c>
      <c r="E315" s="275">
        <f>IFERROR(IF(SA!$C$3="Yes",SA!K13,SA!K13*(1-'Gap data'!$C62)),"")</f>
        <v>5.3789273359850869</v>
      </c>
      <c r="F315" s="275">
        <f>IFERROR(IF(SA!$C$3="Yes",SA!L13,SA!L13*(1-'Gap data'!$C62)),"")</f>
        <v>9.9980062007157741E-3</v>
      </c>
      <c r="G315" s="84"/>
      <c r="H315" s="86" t="s">
        <v>333</v>
      </c>
      <c r="I315" s="87" t="s">
        <v>334</v>
      </c>
      <c r="J315" s="88">
        <f>E345</f>
        <v>0</v>
      </c>
      <c r="K315" s="88">
        <f>F345</f>
        <v>2.1979483986784563</v>
      </c>
      <c r="M315" s="767">
        <f>IFERROR(SA!K13-E315,0)</f>
        <v>1.0726640149130162E-3</v>
      </c>
      <c r="N315" s="767">
        <f>IFERROR(SA!L13-F315,0)</f>
        <v>1.9937992842260915E-6</v>
      </c>
    </row>
    <row r="316" spans="1:14">
      <c r="A316" s="873"/>
      <c r="B316" s="1059"/>
      <c r="C316" s="768" t="s">
        <v>13</v>
      </c>
      <c r="D316" s="769" t="s">
        <v>85</v>
      </c>
      <c r="E316" s="275">
        <f>IFERROR(IF(SA!$C$3="Yes",SA!K14,SA!K14*(1-'Gap data'!$C63)),"")</f>
        <v>1.9744974497449747E-2</v>
      </c>
      <c r="F316" s="275">
        <f>IFERROR(IF(SA!$C$3="Yes",SA!L14,SA!L14*(1-'Gap data'!$C63)),"")</f>
        <v>2.5273567356735676</v>
      </c>
      <c r="G316" s="84"/>
      <c r="H316" s="86" t="s">
        <v>335</v>
      </c>
      <c r="I316" s="87" t="s">
        <v>336</v>
      </c>
      <c r="J316" s="88">
        <f>E311</f>
        <v>0.5</v>
      </c>
      <c r="K316" s="88">
        <f>F311</f>
        <v>2.16</v>
      </c>
      <c r="M316" s="767">
        <f>IFERROR(SA!K14-E316,0)</f>
        <v>2.5502550255025389E-4</v>
      </c>
      <c r="N316" s="767">
        <f>IFERROR(SA!L14-F316,0)</f>
        <v>3.2643264326432497E-2</v>
      </c>
    </row>
    <row r="317" spans="1:14">
      <c r="A317" s="873"/>
      <c r="B317" s="1059"/>
      <c r="C317" s="768" t="s">
        <v>14</v>
      </c>
      <c r="D317" s="769" t="s">
        <v>86</v>
      </c>
      <c r="E317" s="275">
        <f>IFERROR(IF(SA!$C$3="Yes",SA!K15,SA!K15*(1-'Gap data'!$C64)),"")</f>
        <v>66.586858352346127</v>
      </c>
      <c r="F317" s="275">
        <f>IFERROR(IF(SA!$C$3="Yes",SA!L15,SA!L15*(1-'Gap data'!$C64)),"")</f>
        <v>161.90073998735534</v>
      </c>
      <c r="G317" s="84"/>
      <c r="H317" s="86" t="s">
        <v>337</v>
      </c>
      <c r="I317" s="87" t="s">
        <v>322</v>
      </c>
      <c r="J317" s="88">
        <f t="shared" ref="J317:K318" si="72">E349</f>
        <v>432.27086195312705</v>
      </c>
      <c r="K317" s="88">
        <f t="shared" si="72"/>
        <v>1028.0095781446519</v>
      </c>
      <c r="M317" s="767">
        <f>IFERROR(SA!K15-E317,0)</f>
        <v>1.0731416476538698</v>
      </c>
      <c r="N317" s="767">
        <f>IFERROR(SA!L15-F317,0)</f>
        <v>2.6092600126446541</v>
      </c>
    </row>
    <row r="318" spans="1:14">
      <c r="A318" s="873"/>
      <c r="B318" s="1059"/>
      <c r="C318" s="768" t="s">
        <v>15</v>
      </c>
      <c r="D318" s="769" t="s">
        <v>87</v>
      </c>
      <c r="E318" s="275">
        <f>IFERROR(IF(SA!$C$3="Yes",SA!K16,SA!K16*(1-'Gap data'!$C65)),"")</f>
        <v>9.9980726659985253E-2</v>
      </c>
      <c r="F318" s="275">
        <f>IFERROR(IF(SA!$C$3="Yes",SA!L16,SA!L16*(1-'Gap data'!$C65)),"")</f>
        <v>1.9996145331997048E-2</v>
      </c>
      <c r="G318" s="84"/>
      <c r="H318" s="86" t="s">
        <v>338</v>
      </c>
      <c r="I318" s="87" t="s">
        <v>339</v>
      </c>
      <c r="J318" s="88">
        <f t="shared" si="72"/>
        <v>1658.418625678197</v>
      </c>
      <c r="K318" s="88">
        <f t="shared" si="72"/>
        <v>1848.3373796659096</v>
      </c>
      <c r="M318" s="767">
        <f>IFERROR(SA!K16-E318,0)</f>
        <v>1.9273340014752671E-5</v>
      </c>
      <c r="N318" s="767">
        <f>IFERROR(SA!L16-F318,0)</f>
        <v>3.8546680029526159E-6</v>
      </c>
    </row>
    <row r="319" spans="1:14">
      <c r="A319" s="873"/>
      <c r="B319" s="1059"/>
      <c r="C319" s="768" t="s">
        <v>16</v>
      </c>
      <c r="D319" s="769" t="s">
        <v>88</v>
      </c>
      <c r="E319" s="275">
        <f>IFERROR(IF(SA!$C$3="Yes",SA!K17,SA!K17*(1-'Gap data'!$C66)),"")</f>
        <v>0</v>
      </c>
      <c r="F319" s="275">
        <f>IFERROR(IF(SA!$C$3="Yes",SA!L17,SA!L17*(1-'Gap data'!$C66)),"")</f>
        <v>0</v>
      </c>
      <c r="G319" s="84"/>
      <c r="H319" s="86" t="s">
        <v>340</v>
      </c>
      <c r="I319" s="87" t="s">
        <v>341</v>
      </c>
      <c r="J319" s="88">
        <f>E356</f>
        <v>15.757046530707166</v>
      </c>
      <c r="K319" s="88">
        <f>F356</f>
        <v>29.173937636061787</v>
      </c>
      <c r="M319" s="767">
        <f>IFERROR(SA!K17-E319,0)</f>
        <v>0</v>
      </c>
      <c r="N319" s="767">
        <f>IFERROR(SA!L17-F319,0)</f>
        <v>0</v>
      </c>
    </row>
    <row r="320" spans="1:14">
      <c r="A320" s="873"/>
      <c r="B320" s="1059"/>
      <c r="C320" s="768" t="s">
        <v>17</v>
      </c>
      <c r="D320" s="769" t="s">
        <v>89</v>
      </c>
      <c r="E320" s="275">
        <f>IFERROR(IF(SA!$C$3="Yes",SA!K18,SA!K18*(1-'Gap data'!$C67)),"")</f>
        <v>0.13968237963196373</v>
      </c>
      <c r="F320" s="275">
        <f>IFERROR(IF(SA!$C$3="Yes",SA!L18,SA!L18*(1-'Gap data'!$C67)),"")</f>
        <v>1.6961431812452734</v>
      </c>
      <c r="G320" s="84"/>
      <c r="H320" s="86" t="s">
        <v>342</v>
      </c>
      <c r="I320" s="87" t="s">
        <v>343</v>
      </c>
      <c r="J320" s="88">
        <f>E351</f>
        <v>2035.8336805755896</v>
      </c>
      <c r="K320" s="88">
        <f>F351</f>
        <v>36.755901011299116</v>
      </c>
      <c r="M320" s="767">
        <f>IFERROR(SA!K18-E320,0)</f>
        <v>3.1762036803628657E-4</v>
      </c>
      <c r="N320" s="767">
        <f>IFERROR(SA!L18-F320,0)</f>
        <v>3.8568187547265431E-3</v>
      </c>
    </row>
    <row r="321" spans="1:14">
      <c r="A321" s="873"/>
      <c r="B321" s="1059"/>
      <c r="C321" s="768" t="s">
        <v>18</v>
      </c>
      <c r="D321" s="769" t="s">
        <v>90</v>
      </c>
      <c r="E321" s="275">
        <f>IFERROR(IF(SA!$C$3="Yes",SA!K19,SA!K19*(1-'Gap data'!$C68)),"")</f>
        <v>0</v>
      </c>
      <c r="F321" s="275">
        <f>IFERROR(IF(SA!$C$3="Yes",SA!L19,SA!L19*(1-'Gap data'!$C68)),"")</f>
        <v>0</v>
      </c>
      <c r="G321" s="84"/>
      <c r="H321" s="86" t="s">
        <v>344</v>
      </c>
      <c r="I321" s="87" t="s">
        <v>345</v>
      </c>
      <c r="J321" s="88">
        <f t="shared" ref="J321:K322" si="73">E340</f>
        <v>730.46549012842559</v>
      </c>
      <c r="K321" s="88">
        <f t="shared" si="73"/>
        <v>992.99559506552009</v>
      </c>
      <c r="M321" s="767">
        <f>IFERROR(SA!K19-E321,0)</f>
        <v>0</v>
      </c>
      <c r="N321" s="767">
        <f>IFERROR(SA!L19-F321,0)</f>
        <v>0</v>
      </c>
    </row>
    <row r="322" spans="1:14">
      <c r="A322" s="873"/>
      <c r="B322" s="1059"/>
      <c r="C322" s="768" t="s">
        <v>19</v>
      </c>
      <c r="D322" s="769" t="s">
        <v>141</v>
      </c>
      <c r="E322" s="275">
        <f>IFERROR(IF(SA!$C$3="Yes",SA!K20,SA!K20*(1-'Gap data'!$C69)),"")</f>
        <v>0</v>
      </c>
      <c r="F322" s="275">
        <f>IFERROR(IF(SA!$C$3="Yes",SA!L20,SA!L20*(1-'Gap data'!$C69)),"")</f>
        <v>0</v>
      </c>
      <c r="G322" s="84"/>
      <c r="H322" s="86" t="s">
        <v>346</v>
      </c>
      <c r="I322" s="87" t="s">
        <v>347</v>
      </c>
      <c r="J322" s="88">
        <f t="shared" si="73"/>
        <v>298.91023749609059</v>
      </c>
      <c r="K322" s="88">
        <f t="shared" si="73"/>
        <v>544.99370673105716</v>
      </c>
      <c r="M322" s="767">
        <f>IFERROR(SA!K20-E322,0)</f>
        <v>0</v>
      </c>
      <c r="N322" s="767">
        <f>IFERROR(SA!L20-F322,0)</f>
        <v>0</v>
      </c>
    </row>
    <row r="323" spans="1:14">
      <c r="A323" s="873"/>
      <c r="B323" s="1059"/>
      <c r="C323" s="768" t="s">
        <v>142</v>
      </c>
      <c r="D323" s="769" t="s">
        <v>143</v>
      </c>
      <c r="E323" s="275">
        <f>IFERROR(IF(SA!$C$3="Yes",SA!K21,SA!K21*(1-'Gap data'!$C70)),"")</f>
        <v>0</v>
      </c>
      <c r="F323" s="275">
        <f>IFERROR(IF(SA!$C$3="Yes",SA!L21,SA!L21*(1-'Gap data'!$C70)),"")</f>
        <v>0</v>
      </c>
      <c r="G323" s="84"/>
      <c r="H323" s="86" t="s">
        <v>348</v>
      </c>
      <c r="I323" s="87" t="s">
        <v>349</v>
      </c>
      <c r="J323" s="88">
        <f>E378</f>
        <v>114.16369785895004</v>
      </c>
      <c r="K323" s="88">
        <f>F378</f>
        <v>153.67585327324005</v>
      </c>
      <c r="M323" s="767">
        <f>IFERROR(SA!K21-E323,0)</f>
        <v>0</v>
      </c>
      <c r="N323" s="767">
        <f>IFERROR(SA!L21-F323,0)</f>
        <v>0</v>
      </c>
    </row>
    <row r="324" spans="1:14">
      <c r="A324" s="873"/>
      <c r="B324" s="1059"/>
      <c r="C324" s="768" t="s">
        <v>20</v>
      </c>
      <c r="D324" s="769" t="s">
        <v>91</v>
      </c>
      <c r="E324" s="275">
        <f>IFERROR(IF(SA!$C$3="Yes",SA!K22,SA!K22*(1-'Gap data'!$C71)),"")</f>
        <v>21.194468690779924</v>
      </c>
      <c r="F324" s="275">
        <f>IFERROR(IF(SA!$C$3="Yes",SA!L22,SA!L22*(1-'Gap data'!$C71)),"")</f>
        <v>9.5797013052002935</v>
      </c>
      <c r="G324" s="84"/>
      <c r="H324" s="86" t="s">
        <v>350</v>
      </c>
      <c r="I324" s="87" t="s">
        <v>351</v>
      </c>
      <c r="J324" s="88">
        <f>SUM(E381,E336:E337,E339)</f>
        <v>5.3604149549910636</v>
      </c>
      <c r="K324" s="88">
        <f t="shared" ref="K324" si="74">SUM(F381,F336:F337,F339)</f>
        <v>56.136575087274636</v>
      </c>
      <c r="M324" s="767">
        <f>IFERROR(SA!K22-E324,0)</f>
        <v>0.15553130922007696</v>
      </c>
      <c r="N324" s="767">
        <f>IFERROR(SA!L22-F324,0)</f>
        <v>7.0298694799706851E-2</v>
      </c>
    </row>
    <row r="325" spans="1:14">
      <c r="A325" s="873"/>
      <c r="B325" s="1059"/>
      <c r="C325" s="768" t="s">
        <v>21</v>
      </c>
      <c r="D325" s="769" t="s">
        <v>144</v>
      </c>
      <c r="E325" s="275">
        <f>IFERROR(IF(SA!$C$3="Yes",SA!K23,SA!K23*(1-'Gap data'!$C72)),"")</f>
        <v>0</v>
      </c>
      <c r="F325" s="275">
        <f>IFERROR(IF(SA!$C$3="Yes",SA!L23,SA!L23*(1-'Gap data'!$C72)),"")</f>
        <v>0</v>
      </c>
      <c r="G325" s="84"/>
      <c r="H325" s="86" t="s">
        <v>352</v>
      </c>
      <c r="I325" s="87" t="s">
        <v>353</v>
      </c>
      <c r="J325" s="88">
        <f>E379</f>
        <v>2.1901914310230617</v>
      </c>
      <c r="K325" s="88">
        <f>F379</f>
        <v>1.5982478010168288</v>
      </c>
      <c r="M325" s="767">
        <f>IFERROR(SA!K23-E325,0)</f>
        <v>0</v>
      </c>
      <c r="N325" s="767">
        <f>IFERROR(SA!L23-F325,0)</f>
        <v>0</v>
      </c>
    </row>
    <row r="326" spans="1:14">
      <c r="A326" s="873"/>
      <c r="B326" s="1059"/>
      <c r="C326" s="768" t="s">
        <v>22</v>
      </c>
      <c r="D326" s="769" t="s">
        <v>92</v>
      </c>
      <c r="E326" s="275">
        <f>IFERROR(IF(SA!$C$3="Yes",SA!K24,SA!K24*(1-'Gap data'!$C73)),"")</f>
        <v>2.8888692152648896</v>
      </c>
      <c r="F326" s="275">
        <f>IFERROR(IF(SA!$C$3="Yes",SA!L24,SA!L24*(1-'Gap data'!$C73)),"")</f>
        <v>3.4980237462792116</v>
      </c>
      <c r="G326" s="84"/>
      <c r="H326" s="86" t="s">
        <v>354</v>
      </c>
      <c r="I326" s="87" t="s">
        <v>355</v>
      </c>
      <c r="J326" s="88">
        <f>E310</f>
        <v>117.64</v>
      </c>
      <c r="K326" s="88">
        <f>F310</f>
        <v>115.79</v>
      </c>
      <c r="M326" s="767">
        <f>IFERROR(SA!K24-E326,0)</f>
        <v>0.24113078473511029</v>
      </c>
      <c r="N326" s="767">
        <f>IFERROR(SA!L24-F326,0)</f>
        <v>0.29197625372078839</v>
      </c>
    </row>
    <row r="327" spans="1:14">
      <c r="A327" s="873"/>
      <c r="B327" s="1059"/>
      <c r="C327" s="768" t="s">
        <v>23</v>
      </c>
      <c r="D327" s="769" t="s">
        <v>93</v>
      </c>
      <c r="E327" s="275">
        <f>IFERROR(IF(SA!$C$3="Yes",SA!K25,SA!K25*(1-'Gap data'!$C74)),"")</f>
        <v>63152.036889183197</v>
      </c>
      <c r="F327" s="275">
        <f>IFERROR(IF(SA!$C$3="Yes",SA!L25,SA!L25*(1-'Gap data'!$C74)),"")</f>
        <v>38670.296361604269</v>
      </c>
      <c r="G327" s="84"/>
      <c r="H327" s="86" t="s">
        <v>356</v>
      </c>
      <c r="I327" s="87" t="s">
        <v>357</v>
      </c>
      <c r="J327" s="88">
        <f t="shared" ref="J327:K327" si="75">SUM(E372,E369:E370,E374)</f>
        <v>84524.224887298376</v>
      </c>
      <c r="K327" s="88">
        <f t="shared" si="75"/>
        <v>103569.3444684056</v>
      </c>
      <c r="M327" s="767">
        <f>IFERROR(SA!K25-E327,0)</f>
        <v>270.72311081680527</v>
      </c>
      <c r="N327" s="767">
        <f>IFERROR(SA!L25-F327,0)</f>
        <v>165.77363839573081</v>
      </c>
    </row>
    <row r="328" spans="1:14">
      <c r="A328" s="873"/>
      <c r="B328" s="1059"/>
      <c r="C328" s="768" t="s">
        <v>24</v>
      </c>
      <c r="D328" s="769" t="s">
        <v>94</v>
      </c>
      <c r="E328" s="275">
        <f>IFERROR(IF(SA!$C$3="Yes",SA!K26,SA!K26*(1-'Gap data'!$C75)),"")</f>
        <v>43558.57</v>
      </c>
      <c r="F328" s="275">
        <f>IFERROR(IF(SA!$C$3="Yes",SA!L26,SA!L26*(1-'Gap data'!$C75)),"")</f>
        <v>46720.69</v>
      </c>
      <c r="G328" s="760" t="s">
        <v>429</v>
      </c>
      <c r="H328" s="770"/>
      <c r="I328" s="94" t="s">
        <v>407</v>
      </c>
      <c r="J328" s="771"/>
      <c r="K328" s="772"/>
      <c r="M328" s="767">
        <f>IFERROR(SA!K26-E328,0)</f>
        <v>0</v>
      </c>
      <c r="N328" s="767">
        <f>IFERROR(SA!L26-F328,0)</f>
        <v>0</v>
      </c>
    </row>
    <row r="329" spans="1:14">
      <c r="A329" s="873"/>
      <c r="B329" s="1059"/>
      <c r="C329" s="768" t="s">
        <v>25</v>
      </c>
      <c r="D329" s="769" t="s">
        <v>145</v>
      </c>
      <c r="E329" s="275">
        <f>IFERROR(IF(SA!$C$3="Yes",SA!K27,SA!K27*(1-'Gap data'!$C76)),"")</f>
        <v>0</v>
      </c>
      <c r="F329" s="275">
        <f>IFERROR(IF(SA!$C$3="Yes",SA!L27,SA!L27*(1-'Gap data'!$C76)),"")</f>
        <v>0</v>
      </c>
      <c r="G329" s="84"/>
      <c r="H329" s="86" t="s">
        <v>358</v>
      </c>
      <c r="I329" s="87" t="s">
        <v>84</v>
      </c>
      <c r="J329" s="88">
        <f>E315</f>
        <v>5.3789273359850869</v>
      </c>
      <c r="K329" s="88">
        <f>F315</f>
        <v>9.9980062007157741E-3</v>
      </c>
      <c r="M329" s="767">
        <f>IFERROR(SA!K27-E329,0)</f>
        <v>0</v>
      </c>
      <c r="N329" s="767">
        <f>IFERROR(SA!L27-F329,0)</f>
        <v>0</v>
      </c>
    </row>
    <row r="330" spans="1:14">
      <c r="A330" s="873"/>
      <c r="B330" s="1059"/>
      <c r="C330" s="768" t="s">
        <v>146</v>
      </c>
      <c r="D330" s="769" t="s">
        <v>147</v>
      </c>
      <c r="E330" s="275">
        <f>IFERROR(IF(SA!$C$3="Yes",SA!K28,SA!K28*(1-'Gap data'!$C77)),"")</f>
        <v>0</v>
      </c>
      <c r="F330" s="275">
        <f>IFERROR(IF(SA!$C$3="Yes",SA!L28,SA!L28*(1-'Gap data'!$C77)),"")</f>
        <v>0</v>
      </c>
      <c r="G330" s="84"/>
      <c r="H330" s="86" t="s">
        <v>359</v>
      </c>
      <c r="I330" s="87" t="s">
        <v>90</v>
      </c>
      <c r="J330" s="88">
        <f>E321</f>
        <v>0</v>
      </c>
      <c r="K330" s="88">
        <f>F321</f>
        <v>0</v>
      </c>
      <c r="M330" s="767">
        <f>IFERROR(SA!K28-E330,0)</f>
        <v>0</v>
      </c>
      <c r="N330" s="767">
        <f>IFERROR(SA!L28-F330,0)</f>
        <v>0</v>
      </c>
    </row>
    <row r="331" spans="1:14">
      <c r="A331" s="873"/>
      <c r="B331" s="1059"/>
      <c r="C331" s="768" t="s">
        <v>148</v>
      </c>
      <c r="D331" s="769" t="s">
        <v>149</v>
      </c>
      <c r="E331" s="275">
        <f>IFERROR(IF(SA!$C$3="Yes",SA!K29,SA!K29*(1-'Gap data'!$C78)),"")</f>
        <v>0</v>
      </c>
      <c r="F331" s="275">
        <f>IFERROR(IF(SA!$C$3="Yes",SA!L29,SA!L29*(1-'Gap data'!$C78)),"")</f>
        <v>0</v>
      </c>
      <c r="G331" s="84"/>
      <c r="H331" s="86" t="s">
        <v>360</v>
      </c>
      <c r="I331" s="87" t="s">
        <v>361</v>
      </c>
      <c r="J331" s="88">
        <f>E319</f>
        <v>0</v>
      </c>
      <c r="K331" s="88">
        <f>F319</f>
        <v>0</v>
      </c>
      <c r="M331" s="767">
        <f>IFERROR(SA!K29-E331,0)</f>
        <v>0</v>
      </c>
      <c r="N331" s="767">
        <f>IFERROR(SA!L29-F331,0)</f>
        <v>0</v>
      </c>
    </row>
    <row r="332" spans="1:14">
      <c r="A332" s="873"/>
      <c r="B332" s="1059"/>
      <c r="C332" s="768" t="s">
        <v>26</v>
      </c>
      <c r="D332" s="769" t="s">
        <v>150</v>
      </c>
      <c r="E332" s="275">
        <f>IFERROR(IF(SA!$C$3="Yes",SA!K30,SA!K30*(1-'Gap data'!$C79)),"")</f>
        <v>0</v>
      </c>
      <c r="F332" s="275">
        <f>IFERROR(IF(SA!$C$3="Yes",SA!L30,SA!L30*(1-'Gap data'!$C79)),"")</f>
        <v>0</v>
      </c>
      <c r="G332" s="84"/>
      <c r="H332" s="86" t="s">
        <v>362</v>
      </c>
      <c r="I332" s="87" t="s">
        <v>91</v>
      </c>
      <c r="J332" s="88">
        <f>E324</f>
        <v>21.194468690779924</v>
      </c>
      <c r="K332" s="88">
        <f>F324</f>
        <v>9.5797013052002935</v>
      </c>
      <c r="M332" s="767">
        <f>IFERROR(SA!K30-E332,0)</f>
        <v>0</v>
      </c>
      <c r="N332" s="767">
        <f>IFERROR(SA!L30-F332,0)</f>
        <v>0</v>
      </c>
    </row>
    <row r="333" spans="1:14">
      <c r="A333" s="873"/>
      <c r="B333" s="1059"/>
      <c r="C333" s="768" t="s">
        <v>27</v>
      </c>
      <c r="D333" s="769" t="s">
        <v>95</v>
      </c>
      <c r="E333" s="275">
        <f>IFERROR(IF(SA!$C$3="Yes",SA!K31,SA!K31*(1-'Gap data'!$C80)),"")</f>
        <v>121.43842001111695</v>
      </c>
      <c r="F333" s="275">
        <f>IFERROR(IF(SA!$C$3="Yes",SA!L31,SA!L31*(1-'Gap data'!$C80)),"")</f>
        <v>118.961307972726</v>
      </c>
      <c r="G333" s="84"/>
      <c r="H333" s="86" t="s">
        <v>363</v>
      </c>
      <c r="I333" s="87" t="s">
        <v>94</v>
      </c>
      <c r="J333" s="88">
        <f>E328</f>
        <v>43558.57</v>
      </c>
      <c r="K333" s="88">
        <f>F328</f>
        <v>46720.69</v>
      </c>
      <c r="M333" s="767">
        <f>IFERROR(SA!K31-E333,0)</f>
        <v>0.14157998888305201</v>
      </c>
      <c r="N333" s="767">
        <f>IFERROR(SA!L31-F333,0)</f>
        <v>0.13869202727398999</v>
      </c>
    </row>
    <row r="334" spans="1:14">
      <c r="A334" s="873"/>
      <c r="B334" s="1059"/>
      <c r="C334" s="768" t="s">
        <v>28</v>
      </c>
      <c r="D334" s="769" t="s">
        <v>96</v>
      </c>
      <c r="E334" s="275">
        <f>IFERROR(IF(SA!$C$3="Yes",SA!K32,SA!K32*(1-'Gap data'!$C81)),"")</f>
        <v>0</v>
      </c>
      <c r="F334" s="275">
        <f>IFERROR(IF(SA!$C$3="Yes",SA!L32,SA!L32*(1-'Gap data'!$C81)),"")</f>
        <v>0</v>
      </c>
      <c r="G334" s="84"/>
      <c r="H334" s="86" t="s">
        <v>364</v>
      </c>
      <c r="I334" s="87" t="s">
        <v>87</v>
      </c>
      <c r="J334" s="88">
        <f>E318</f>
        <v>9.9980726659985253E-2</v>
      </c>
      <c r="K334" s="88">
        <f>F318</f>
        <v>1.9996145331997048E-2</v>
      </c>
      <c r="M334" s="767">
        <f>IFERROR(SA!K32-E334,0)</f>
        <v>0</v>
      </c>
      <c r="N334" s="767">
        <f>IFERROR(SA!L32-F334,0)</f>
        <v>0</v>
      </c>
    </row>
    <row r="335" spans="1:14">
      <c r="A335" s="873"/>
      <c r="B335" s="1059"/>
      <c r="C335" s="768" t="s">
        <v>29</v>
      </c>
      <c r="D335" s="769" t="s">
        <v>97</v>
      </c>
      <c r="E335" s="275">
        <f>IFERROR(IF(SA!$C$3="Yes",SA!K33,SA!K33*(1-'Gap data'!$C82)),"")</f>
        <v>0.49985177254136698</v>
      </c>
      <c r="F335" s="275">
        <f>IFERROR(IF(SA!$C$3="Yes",SA!L33,SA!L33*(1-'Gap data'!$C82)),"")</f>
        <v>0.40987845348392088</v>
      </c>
      <c r="G335" s="84"/>
      <c r="H335" s="86" t="s">
        <v>365</v>
      </c>
      <c r="I335" s="87" t="s">
        <v>145</v>
      </c>
      <c r="J335" s="88">
        <f>E329</f>
        <v>0</v>
      </c>
      <c r="K335" s="88">
        <f>F329</f>
        <v>0</v>
      </c>
      <c r="M335" s="767">
        <f>IFERROR(SA!K33-E335,0)</f>
        <v>1.4822745863302123E-4</v>
      </c>
      <c r="N335" s="767">
        <f>IFERROR(SA!L33-F335,0)</f>
        <v>1.2154651607909628E-4</v>
      </c>
    </row>
    <row r="336" spans="1:14">
      <c r="A336" s="873"/>
      <c r="B336" s="1059"/>
      <c r="C336" s="768" t="s">
        <v>99</v>
      </c>
      <c r="D336" s="769" t="s">
        <v>98</v>
      </c>
      <c r="E336" s="275">
        <f>IFERROR(IF(SA!$C$3="Yes",SA!K34,SA!K34*(1-'Gap data'!$C83)),"")</f>
        <v>0.64170648464163826</v>
      </c>
      <c r="F336" s="275">
        <f>IFERROR(IF(SA!$C$3="Yes",SA!L34,SA!L34*(1-'Gap data'!$C83)),"")</f>
        <v>0.23556313993174061</v>
      </c>
      <c r="G336" s="84"/>
      <c r="H336" s="86" t="s">
        <v>366</v>
      </c>
      <c r="I336" s="87" t="s">
        <v>89</v>
      </c>
      <c r="J336" s="88">
        <f>E320</f>
        <v>0.13968237963196373</v>
      </c>
      <c r="K336" s="88">
        <f>F320</f>
        <v>1.6961431812452734</v>
      </c>
      <c r="M336" s="767">
        <f>IFERROR(SA!K34-E336,0)</f>
        <v>0.14829351535836177</v>
      </c>
      <c r="N336" s="767">
        <f>IFERROR(SA!L34-F336,0)</f>
        <v>5.4436860068259374E-2</v>
      </c>
    </row>
    <row r="337" spans="1:14">
      <c r="A337" s="873"/>
      <c r="B337" s="1059"/>
      <c r="C337" s="768" t="s">
        <v>101</v>
      </c>
      <c r="D337" s="769" t="s">
        <v>100</v>
      </c>
      <c r="E337" s="275">
        <f>IFERROR(IF(SA!$C$3="Yes",SA!K35,SA!K35*(1-'Gap data'!$C84)),"")</f>
        <v>0</v>
      </c>
      <c r="F337" s="275">
        <f>IFERROR(IF(SA!$C$3="Yes",SA!L35,SA!L35*(1-'Gap data'!$C84)),"")</f>
        <v>0</v>
      </c>
      <c r="G337" s="84"/>
      <c r="H337" s="86" t="s">
        <v>367</v>
      </c>
      <c r="I337" s="87" t="s">
        <v>141</v>
      </c>
      <c r="J337" s="88">
        <f>E322</f>
        <v>0</v>
      </c>
      <c r="K337" s="88">
        <f>F322</f>
        <v>0</v>
      </c>
      <c r="M337" s="767">
        <f>IFERROR(SA!K35-E337,0)</f>
        <v>0</v>
      </c>
      <c r="N337" s="767">
        <f>IFERROR(SA!L35-F337,0)</f>
        <v>0</v>
      </c>
    </row>
    <row r="338" spans="1:14">
      <c r="A338" s="874"/>
      <c r="B338" s="1060"/>
      <c r="C338" s="768" t="s">
        <v>30</v>
      </c>
      <c r="D338" s="769" t="s">
        <v>151</v>
      </c>
      <c r="E338" s="275">
        <f>IFERROR(IF(SA!$C$3="Yes",SA!K36,SA!K36*(1-'Gap data'!$C85)),"")</f>
        <v>2.6699714951894129</v>
      </c>
      <c r="F338" s="275">
        <f>IFERROR(IF(SA!$C$3="Yes",SA!L36,SA!L36*(1-'Gap data'!$C85)),"")</f>
        <v>2.8699693599976088</v>
      </c>
      <c r="G338" s="84"/>
      <c r="H338" s="86" t="s">
        <v>368</v>
      </c>
      <c r="I338" s="87" t="s">
        <v>147</v>
      </c>
      <c r="J338" s="88">
        <f>E330</f>
        <v>0</v>
      </c>
      <c r="K338" s="88">
        <f>F330</f>
        <v>0</v>
      </c>
      <c r="M338" s="767">
        <f>IFERROR(SA!K36-E338,0)</f>
        <v>2.8504810587026697E-5</v>
      </c>
      <c r="N338" s="767">
        <f>IFERROR(SA!L36-F338,0)</f>
        <v>3.0640002391280063E-5</v>
      </c>
    </row>
    <row r="339" spans="1:14">
      <c r="A339" s="90" t="s">
        <v>31</v>
      </c>
      <c r="B339" s="761" t="s">
        <v>32</v>
      </c>
      <c r="C339" s="768" t="s">
        <v>33</v>
      </c>
      <c r="D339" s="769" t="s">
        <v>102</v>
      </c>
      <c r="E339" s="275">
        <f>IFERROR(IF(SA!$C$3="Yes",SA!K37,SA!K37*(1-'Gap data'!$C86)),"")</f>
        <v>3.7748545844742103</v>
      </c>
      <c r="F339" s="275">
        <f>IFERROR(IF(SA!$C$3="Yes",SA!L37,SA!L37*(1-'Gap data'!$C86)),"")</f>
        <v>55.901011947342894</v>
      </c>
      <c r="G339" s="84"/>
      <c r="H339" s="86" t="s">
        <v>369</v>
      </c>
      <c r="I339" s="87" t="s">
        <v>86</v>
      </c>
      <c r="J339" s="88">
        <f>E317</f>
        <v>66.586858352346127</v>
      </c>
      <c r="K339" s="88">
        <f>F317</f>
        <v>161.90073998735534</v>
      </c>
      <c r="M339" s="767">
        <f>IFERROR(SA!K37-E339,0)</f>
        <v>9.5145415525789812E-2</v>
      </c>
      <c r="N339" s="767">
        <f>IFERROR(SA!L37-F339,0)</f>
        <v>1.4089880526571079</v>
      </c>
    </row>
    <row r="340" spans="1:14">
      <c r="A340" s="872" t="s">
        <v>34</v>
      </c>
      <c r="B340" s="1058" t="s">
        <v>152</v>
      </c>
      <c r="C340" s="768" t="s">
        <v>35</v>
      </c>
      <c r="D340" s="769" t="s">
        <v>103</v>
      </c>
      <c r="E340" s="275">
        <f>IFERROR(IF(SA!$C$3="Yes",SA!K38,SA!K38*(1-'Gap data'!$C87)),"")</f>
        <v>730.46549012842559</v>
      </c>
      <c r="F340" s="275">
        <f>IFERROR(IF(SA!$C$3="Yes",SA!L38,SA!L38*(1-'Gap data'!$C87)),"")</f>
        <v>992.99559506552009</v>
      </c>
      <c r="G340" s="84"/>
      <c r="H340" s="86" t="s">
        <v>370</v>
      </c>
      <c r="I340" s="87" t="s">
        <v>143</v>
      </c>
      <c r="J340" s="88">
        <f>E323</f>
        <v>0</v>
      </c>
      <c r="K340" s="88">
        <f>F323</f>
        <v>0</v>
      </c>
      <c r="M340" s="767">
        <f>IFERROR(SA!K38-E340,0)</f>
        <v>352.86450987157434</v>
      </c>
      <c r="N340" s="767">
        <f>IFERROR(SA!L38-F340,0)</f>
        <v>479.68440493447997</v>
      </c>
    </row>
    <row r="341" spans="1:14">
      <c r="A341" s="874"/>
      <c r="B341" s="1060"/>
      <c r="C341" s="768" t="s">
        <v>105</v>
      </c>
      <c r="D341" s="769" t="s">
        <v>104</v>
      </c>
      <c r="E341" s="275">
        <f>IFERROR(IF(SA!$C$3="Yes",SA!K39,SA!K39*(1-'Gap data'!$C88)),"")</f>
        <v>298.91023749609059</v>
      </c>
      <c r="F341" s="275">
        <f>IFERROR(IF(SA!$C$3="Yes",SA!L39,SA!L39*(1-'Gap data'!$C88)),"")</f>
        <v>544.99370673105716</v>
      </c>
      <c r="G341" s="84"/>
      <c r="H341" s="86" t="s">
        <v>371</v>
      </c>
      <c r="I341" s="87" t="s">
        <v>93</v>
      </c>
      <c r="J341" s="88">
        <f>E327</f>
        <v>63152.036889183197</v>
      </c>
      <c r="K341" s="88">
        <f>F327</f>
        <v>38670.296361604269</v>
      </c>
      <c r="M341" s="767">
        <f>IFERROR(SA!K39-E341,0)</f>
        <v>5.7897625039094009</v>
      </c>
      <c r="N341" s="767">
        <f>IFERROR(SA!L39-F341,0)</f>
        <v>10.556293268942795</v>
      </c>
    </row>
    <row r="342" spans="1:14">
      <c r="A342" s="872" t="s">
        <v>37</v>
      </c>
      <c r="B342" s="1058" t="s">
        <v>153</v>
      </c>
      <c r="C342" s="768" t="s">
        <v>38</v>
      </c>
      <c r="D342" s="769" t="s">
        <v>106</v>
      </c>
      <c r="E342" s="275">
        <f>IFERROR(IF(SA!$C$3="Yes",SA!K40,SA!K40*(1-'Gap data'!$C89)),"")</f>
        <v>3.185495714204158</v>
      </c>
      <c r="F342" s="275">
        <f>IFERROR(IF(SA!$C$3="Yes",SA!L40,SA!L40*(1-'Gap data'!$C89)),"")</f>
        <v>0.75781266464225228</v>
      </c>
      <c r="G342" s="84"/>
      <c r="H342" s="86" t="s">
        <v>372</v>
      </c>
      <c r="I342" s="87" t="s">
        <v>85</v>
      </c>
      <c r="J342" s="88">
        <f>E316</f>
        <v>1.9744974497449747E-2</v>
      </c>
      <c r="K342" s="88">
        <f>F316</f>
        <v>2.5273567356735676</v>
      </c>
      <c r="M342" s="767">
        <f>IFERROR(SA!K40-E342,0)</f>
        <v>1.564504285795842</v>
      </c>
      <c r="N342" s="767">
        <f>IFERROR(SA!L40-F342,0)</f>
        <v>0.37218733535774762</v>
      </c>
    </row>
    <row r="343" spans="1:14">
      <c r="A343" s="873"/>
      <c r="B343" s="1059"/>
      <c r="C343" s="768" t="s">
        <v>39</v>
      </c>
      <c r="D343" s="769" t="s">
        <v>107</v>
      </c>
      <c r="E343" s="275">
        <f>IFERROR(IF(SA!$C$3="Yes",SA!K41,SA!K41*(1-'Gap data'!$C90)),"")</f>
        <v>100.18859651665903</v>
      </c>
      <c r="F343" s="275">
        <f>IFERROR(IF(SA!$C$3="Yes",SA!L41,SA!L41*(1-'Gap data'!$C90)),"")</f>
        <v>115.56899012582157</v>
      </c>
      <c r="G343" s="84"/>
      <c r="H343" s="86" t="s">
        <v>373</v>
      </c>
      <c r="I343" s="87" t="s">
        <v>374</v>
      </c>
      <c r="J343" s="88">
        <f t="shared" ref="J343:K345" si="76">E312</f>
        <v>2.9642615664577963</v>
      </c>
      <c r="K343" s="88">
        <f t="shared" si="76"/>
        <v>5.9186750878443046</v>
      </c>
      <c r="M343" s="767">
        <f>IFERROR(SA!K41-E343,0)</f>
        <v>31.981403483340955</v>
      </c>
      <c r="N343" s="767">
        <f>IFERROR(SA!L41-F343,0)</f>
        <v>36.891009874178437</v>
      </c>
    </row>
    <row r="344" spans="1:14">
      <c r="A344" s="873"/>
      <c r="B344" s="1059"/>
      <c r="C344" s="768" t="s">
        <v>40</v>
      </c>
      <c r="D344" s="769" t="s">
        <v>108</v>
      </c>
      <c r="E344" s="275">
        <f>IFERROR(IF(SA!$C$3="Yes",SA!K42,SA!K42*(1-'Gap data'!$C91)),"")</f>
        <v>27.683411381327382</v>
      </c>
      <c r="F344" s="275">
        <f>IFERROR(IF(SA!$C$3="Yes",SA!L42,SA!L42*(1-'Gap data'!$C91)),"")</f>
        <v>51.614928880471396</v>
      </c>
      <c r="G344" s="84"/>
      <c r="H344" s="86" t="s">
        <v>375</v>
      </c>
      <c r="I344" s="87" t="s">
        <v>82</v>
      </c>
      <c r="J344" s="88">
        <f t="shared" si="76"/>
        <v>279.03919648864894</v>
      </c>
      <c r="K344" s="88">
        <f t="shared" si="76"/>
        <v>512.49958506131895</v>
      </c>
      <c r="M344" s="767">
        <f>IFERROR(SA!K42-E344,0)</f>
        <v>1.1665886186726198</v>
      </c>
      <c r="N344" s="767">
        <f>IFERROR(SA!L42-F344,0)</f>
        <v>2.175071119528603</v>
      </c>
    </row>
    <row r="345" spans="1:14">
      <c r="A345" s="874"/>
      <c r="B345" s="1060"/>
      <c r="C345" s="768" t="s">
        <v>41</v>
      </c>
      <c r="D345" s="769" t="s">
        <v>109</v>
      </c>
      <c r="E345" s="275">
        <f>IFERROR(IF(SA!$C$3="Yes",SA!K43,SA!K43*(1-'Gap data'!$C92)),"")</f>
        <v>0</v>
      </c>
      <c r="F345" s="275">
        <f>IFERROR(IF(SA!$C$3="Yes",SA!L43,SA!L43*(1-'Gap data'!$C92)),"")</f>
        <v>2.1979483986784563</v>
      </c>
      <c r="G345" s="84"/>
      <c r="H345" s="86" t="s">
        <v>376</v>
      </c>
      <c r="I345" s="87" t="s">
        <v>83</v>
      </c>
      <c r="J345" s="88">
        <f t="shared" si="76"/>
        <v>8491.1240378698803</v>
      </c>
      <c r="K345" s="88">
        <f t="shared" si="76"/>
        <v>9731.130609069096</v>
      </c>
      <c r="M345" s="767">
        <f>IFERROR(SA!K43-E345,0)</f>
        <v>0</v>
      </c>
      <c r="N345" s="767">
        <f>IFERROR(SA!L43-F345,0)</f>
        <v>1.5820516013215435</v>
      </c>
    </row>
    <row r="346" spans="1:14">
      <c r="A346" s="872" t="s">
        <v>42</v>
      </c>
      <c r="B346" s="1058" t="s">
        <v>154</v>
      </c>
      <c r="C346" s="768" t="s">
        <v>43</v>
      </c>
      <c r="D346" s="769" t="s">
        <v>110</v>
      </c>
      <c r="E346" s="275">
        <f>IFERROR(IF(SA!$C$3="Yes",SA!K44,SA!K44*(1-'Gap data'!$C93)),"")</f>
        <v>7.3114578478942205</v>
      </c>
      <c r="F346" s="275">
        <f>IFERROR(IF(SA!$C$3="Yes",SA!L44,SA!L44*(1-'Gap data'!$C93)),"")</f>
        <v>3.9553788357460533</v>
      </c>
      <c r="G346" s="84"/>
      <c r="H346" s="86" t="s">
        <v>377</v>
      </c>
      <c r="I346" s="87" t="s">
        <v>378</v>
      </c>
      <c r="J346" s="88">
        <f>E373</f>
        <v>6704.6427666053796</v>
      </c>
      <c r="K346" s="88">
        <f>F373</f>
        <v>10017.272571961135</v>
      </c>
      <c r="M346" s="767">
        <f>IFERROR(SA!K44-E346,0)</f>
        <v>8.5421521057797989E-3</v>
      </c>
      <c r="N346" s="767">
        <f>IFERROR(SA!L44-F346,0)</f>
        <v>4.6211642539466524E-3</v>
      </c>
    </row>
    <row r="347" spans="1:14">
      <c r="A347" s="873"/>
      <c r="B347" s="1059"/>
      <c r="C347" s="768" t="s">
        <v>44</v>
      </c>
      <c r="D347" s="769" t="s">
        <v>111</v>
      </c>
      <c r="E347" s="275">
        <f>IFERROR(IF(SA!$C$3="Yes",SA!K45,SA!K45*(1-'Gap data'!$C94)),"")</f>
        <v>31.784896183603273</v>
      </c>
      <c r="F347" s="275">
        <f>IFERROR(IF(SA!$C$3="Yes",SA!L45,SA!L45*(1-'Gap data'!$C94)),"")</f>
        <v>45.240036082821881</v>
      </c>
      <c r="G347" s="760" t="str">
        <f>G328</f>
        <v>SA</v>
      </c>
      <c r="H347" s="86" t="s">
        <v>379</v>
      </c>
      <c r="I347" s="87" t="s">
        <v>176</v>
      </c>
      <c r="J347" s="88">
        <f>E347</f>
        <v>31.784896183603273</v>
      </c>
      <c r="K347" s="88">
        <f>F347</f>
        <v>45.240036082821881</v>
      </c>
      <c r="M347" s="767">
        <f>IFERROR(SA!K45-E347,0)</f>
        <v>3.5103816396727439E-2</v>
      </c>
      <c r="N347" s="767">
        <f>IFERROR(SA!L45-F347,0)</f>
        <v>4.9963917178118322E-2</v>
      </c>
    </row>
    <row r="348" spans="1:14">
      <c r="A348" s="874"/>
      <c r="B348" s="1060"/>
      <c r="C348" s="768" t="s">
        <v>45</v>
      </c>
      <c r="D348" s="769" t="s">
        <v>155</v>
      </c>
      <c r="E348" s="275">
        <f>IFERROR(IF(SA!$C$3="Yes",SA!K46,SA!K46*(1-'Gap data'!$C95)),"")</f>
        <v>60.49</v>
      </c>
      <c r="F348" s="275">
        <f>IFERROR(IF(SA!$C$3="Yes",SA!L46,SA!L46*(1-'Gap data'!$C95)),"")</f>
        <v>53.93</v>
      </c>
      <c r="G348" s="84"/>
      <c r="H348" s="86" t="s">
        <v>380</v>
      </c>
      <c r="I348" s="87" t="s">
        <v>381</v>
      </c>
      <c r="J348" s="88">
        <f>E361</f>
        <v>0</v>
      </c>
      <c r="K348" s="88">
        <f>F361</f>
        <v>0</v>
      </c>
      <c r="M348" s="767">
        <f>IFERROR(SA!K46-E348,0)</f>
        <v>0</v>
      </c>
      <c r="N348" s="767">
        <f>IFERROR(SA!L46-F348,0)</f>
        <v>0</v>
      </c>
    </row>
    <row r="349" spans="1:14">
      <c r="A349" s="872" t="s">
        <v>46</v>
      </c>
      <c r="B349" s="1058" t="s">
        <v>156</v>
      </c>
      <c r="C349" s="768" t="s">
        <v>47</v>
      </c>
      <c r="D349" s="769" t="s">
        <v>112</v>
      </c>
      <c r="E349" s="275">
        <f>IFERROR(IF(SA!$C$3="Yes",SA!K47,SA!K47*(1-'Gap data'!$C96)),"")</f>
        <v>432.27086195312705</v>
      </c>
      <c r="F349" s="275">
        <f>IFERROR(IF(SA!$C$3="Yes",SA!L47,SA!L47*(1-'Gap data'!$C96)),"")</f>
        <v>1028.0095781446519</v>
      </c>
      <c r="G349" s="84"/>
      <c r="H349" s="86" t="s">
        <v>382</v>
      </c>
      <c r="I349" s="87" t="s">
        <v>383</v>
      </c>
      <c r="J349" s="88">
        <f>E357</f>
        <v>0</v>
      </c>
      <c r="K349" s="88">
        <f>F357</f>
        <v>0.17994868421333968</v>
      </c>
      <c r="M349" s="767">
        <f>IFERROR(SA!K47-E349,0)</f>
        <v>309.7311380468729</v>
      </c>
      <c r="N349" s="767">
        <f>IFERROR(SA!L47-F349,0)</f>
        <v>736.59042185534804</v>
      </c>
    </row>
    <row r="350" spans="1:14">
      <c r="A350" s="873"/>
      <c r="B350" s="1059"/>
      <c r="C350" s="768" t="s">
        <v>48</v>
      </c>
      <c r="D350" s="769" t="s">
        <v>157</v>
      </c>
      <c r="E350" s="275">
        <f>IFERROR(IF(SA!$C$3="Yes",SA!K48,SA!K48*(1-'Gap data'!$C97)),"")</f>
        <v>1658.418625678197</v>
      </c>
      <c r="F350" s="275">
        <f>IFERROR(IF(SA!$C$3="Yes",SA!L48,SA!L48*(1-'Gap data'!$C97)),"")</f>
        <v>1848.3373796659096</v>
      </c>
      <c r="G350" s="84"/>
      <c r="H350" s="86" t="s">
        <v>384</v>
      </c>
      <c r="I350" s="87" t="s">
        <v>106</v>
      </c>
      <c r="J350" s="88">
        <f>E342</f>
        <v>3.185495714204158</v>
      </c>
      <c r="K350" s="88">
        <f>F342</f>
        <v>0.75781266464225228</v>
      </c>
      <c r="M350" s="767">
        <f>IFERROR(SA!K48-E350,0)</f>
        <v>152.301374321803</v>
      </c>
      <c r="N350" s="767">
        <f>IFERROR(SA!L48-F350,0)</f>
        <v>169.74262033409036</v>
      </c>
    </row>
    <row r="351" spans="1:14">
      <c r="A351" s="874"/>
      <c r="B351" s="1060"/>
      <c r="C351" s="768" t="s">
        <v>49</v>
      </c>
      <c r="D351" s="769" t="s">
        <v>158</v>
      </c>
      <c r="E351" s="275">
        <f>IFERROR(IF(SA!$C$3="Yes",SA!K49,SA!K49*(1-'Gap data'!$C98)),"")</f>
        <v>2035.8336805755896</v>
      </c>
      <c r="F351" s="275">
        <f>IFERROR(IF(SA!$C$3="Yes",SA!L49,SA!L49*(1-'Gap data'!$C98)),"")</f>
        <v>36.755901011299116</v>
      </c>
      <c r="G351" s="84"/>
      <c r="H351" s="86" t="s">
        <v>385</v>
      </c>
      <c r="I351" s="87" t="s">
        <v>108</v>
      </c>
      <c r="J351" s="88">
        <f>E344</f>
        <v>27.683411381327382</v>
      </c>
      <c r="K351" s="88">
        <f>F344</f>
        <v>51.614928880471396</v>
      </c>
      <c r="M351" s="767">
        <f>IFERROR(SA!K49-E351,0)</f>
        <v>334.21631942441059</v>
      </c>
      <c r="N351" s="767">
        <f>IFERROR(SA!L49-F351,0)</f>
        <v>6.0340989887008831</v>
      </c>
    </row>
    <row r="352" spans="1:14">
      <c r="A352" s="872" t="s">
        <v>50</v>
      </c>
      <c r="B352" s="1058" t="s">
        <v>159</v>
      </c>
      <c r="C352" s="768" t="s">
        <v>51</v>
      </c>
      <c r="D352" s="769" t="s">
        <v>113</v>
      </c>
      <c r="E352" s="99">
        <f>'Gap data'!$C175*'Gap data'!$F$12/1000000*(1-'Gap data'!$C99)</f>
        <v>8055.8804593185605</v>
      </c>
      <c r="F352" s="99">
        <f>'Gap data'!$C175*'Gap data'!$F$12/1000000*(1-'Gap data'!$C99)</f>
        <v>8055.8804593185605</v>
      </c>
      <c r="G352" s="84"/>
      <c r="H352" s="86" t="s">
        <v>386</v>
      </c>
      <c r="I352" s="87" t="s">
        <v>107</v>
      </c>
      <c r="J352" s="88">
        <f>E343</f>
        <v>100.18859651665903</v>
      </c>
      <c r="K352" s="88">
        <f>F343</f>
        <v>115.56899012582157</v>
      </c>
      <c r="M352" s="767"/>
      <c r="N352" s="767"/>
    </row>
    <row r="353" spans="1:14">
      <c r="A353" s="873"/>
      <c r="B353" s="1059"/>
      <c r="C353" s="768" t="s">
        <v>115</v>
      </c>
      <c r="D353" s="769" t="s">
        <v>114</v>
      </c>
      <c r="E353" s="99">
        <f>'Gap data'!$C176*'Gap data'!$F$12/1000000*(1-'Gap data'!$C100)</f>
        <v>18213.324306596311</v>
      </c>
      <c r="F353" s="99">
        <f>'Gap data'!$C176*'Gap data'!$F$12/1000000*(1-'Gap data'!$C100)</f>
        <v>18213.324306596311</v>
      </c>
      <c r="G353" s="84"/>
      <c r="H353" s="86" t="s">
        <v>387</v>
      </c>
      <c r="I353" s="87" t="s">
        <v>388</v>
      </c>
      <c r="J353" s="88">
        <f t="shared" ref="J353:K354" si="77">E359</f>
        <v>0</v>
      </c>
      <c r="K353" s="88">
        <f t="shared" si="77"/>
        <v>0</v>
      </c>
      <c r="M353" s="767"/>
      <c r="N353" s="767"/>
    </row>
    <row r="354" spans="1:14">
      <c r="A354" s="873"/>
      <c r="B354" s="1059"/>
      <c r="C354" s="768" t="s">
        <v>52</v>
      </c>
      <c r="D354" s="769" t="s">
        <v>116</v>
      </c>
      <c r="E354" s="280"/>
      <c r="F354" s="280"/>
      <c r="G354" s="84"/>
      <c r="H354" s="86" t="s">
        <v>389</v>
      </c>
      <c r="I354" s="87" t="s">
        <v>390</v>
      </c>
      <c r="J354" s="88">
        <f t="shared" si="77"/>
        <v>0</v>
      </c>
      <c r="K354" s="88">
        <f t="shared" si="77"/>
        <v>0</v>
      </c>
      <c r="M354" s="767">
        <f>IFERROR(SA!K52-E354,0)</f>
        <v>0</v>
      </c>
      <c r="N354" s="767">
        <f>IFERROR(SA!L52-F354,0)</f>
        <v>0</v>
      </c>
    </row>
    <row r="355" spans="1:14">
      <c r="A355" s="874"/>
      <c r="B355" s="1060"/>
      <c r="C355" s="768" t="s">
        <v>118</v>
      </c>
      <c r="D355" s="769" t="s">
        <v>117</v>
      </c>
      <c r="E355" s="280"/>
      <c r="F355" s="280"/>
      <c r="G355" s="84"/>
      <c r="H355" s="86" t="s">
        <v>391</v>
      </c>
      <c r="I355" s="87" t="s">
        <v>392</v>
      </c>
      <c r="J355" s="88">
        <f>E358</f>
        <v>2.075796924190338</v>
      </c>
      <c r="K355" s="88">
        <f>F358</f>
        <v>1.9864085398950606</v>
      </c>
      <c r="M355" s="767">
        <f>IFERROR(SA!K53-E355,0)</f>
        <v>0</v>
      </c>
      <c r="N355" s="767">
        <f>IFERROR(SA!L53-F355,0)</f>
        <v>0</v>
      </c>
    </row>
    <row r="356" spans="1:14">
      <c r="A356" s="872" t="s">
        <v>53</v>
      </c>
      <c r="B356" s="1058" t="s">
        <v>54</v>
      </c>
      <c r="C356" s="768" t="s">
        <v>55</v>
      </c>
      <c r="D356" s="773" t="s">
        <v>160</v>
      </c>
      <c r="E356" s="275">
        <f>IFERROR(IF(SA!$C$3="Yes",SA!K54,SA!K54*(1-'Gap data'!$C103)),"")</f>
        <v>15.757046530707166</v>
      </c>
      <c r="F356" s="275">
        <f>IFERROR(IF(SA!$C$3="Yes",SA!L54,SA!L54*(1-'Gap data'!$C103)),"")</f>
        <v>29.173937636061787</v>
      </c>
      <c r="G356" s="84"/>
      <c r="H356" s="770"/>
      <c r="I356" s="94" t="s">
        <v>405</v>
      </c>
      <c r="J356" s="771"/>
      <c r="K356" s="772"/>
      <c r="M356" s="767">
        <f>IFERROR(SA!K54-E356,0)</f>
        <v>0.40295346929283404</v>
      </c>
      <c r="N356" s="767">
        <f>IFERROR(SA!L54-F356,0)</f>
        <v>0.7460623639382149</v>
      </c>
    </row>
    <row r="357" spans="1:14">
      <c r="A357" s="873"/>
      <c r="B357" s="1059"/>
      <c r="C357" s="768" t="s">
        <v>56</v>
      </c>
      <c r="D357" s="769" t="s">
        <v>161</v>
      </c>
      <c r="E357" s="275">
        <f>IFERROR(IF(SA!$C$3="Yes",SA!K55,SA!K55*(1-'Gap data'!$C104)),"")</f>
        <v>0</v>
      </c>
      <c r="F357" s="275">
        <f>IFERROR(IF(SA!$C$3="Yes",SA!L55,SA!L55*(1-'Gap data'!$C104)),"")</f>
        <v>0.17994868421333968</v>
      </c>
      <c r="G357" s="84"/>
      <c r="H357" s="86" t="s">
        <v>393</v>
      </c>
      <c r="I357" s="87" t="s">
        <v>394</v>
      </c>
      <c r="J357" s="99">
        <f>'Gap data'!$B$23*'Gap data'!F12</f>
        <v>487252.75541558006</v>
      </c>
      <c r="K357" s="99">
        <f>'Gap data'!$B$23*'Gap data'!F13</f>
        <v>489101.90099009348</v>
      </c>
      <c r="M357" s="767">
        <f>IFERROR(SA!K55-E357,0)</f>
        <v>0</v>
      </c>
      <c r="N357" s="767">
        <f>IFERROR(SA!L55-F357,0)</f>
        <v>5.1315786660316443E-5</v>
      </c>
    </row>
    <row r="358" spans="1:14">
      <c r="A358" s="873"/>
      <c r="B358" s="1059"/>
      <c r="C358" s="768" t="s">
        <v>57</v>
      </c>
      <c r="D358" s="769" t="s">
        <v>162</v>
      </c>
      <c r="E358" s="275">
        <f>IFERROR(IF(SA!$C$3="Yes",SA!K56,SA!K56*(1-'Gap data'!$C105)),"")</f>
        <v>2.075796924190338</v>
      </c>
      <c r="F358" s="275">
        <f>IFERROR(IF(SA!$C$3="Yes",SA!L56,SA!L56*(1-'Gap data'!$C105)),"")</f>
        <v>1.9864085398950606</v>
      </c>
      <c r="G358" s="84"/>
      <c r="H358" s="86" t="s">
        <v>395</v>
      </c>
      <c r="I358" s="87" t="s">
        <v>396</v>
      </c>
      <c r="J358" s="762">
        <v>0</v>
      </c>
      <c r="K358" s="762">
        <v>0</v>
      </c>
      <c r="M358" s="767">
        <f>IFERROR(SA!K56-E358,0)</f>
        <v>1.4203075809661847E-2</v>
      </c>
      <c r="N358" s="767">
        <f>IFERROR(SA!L56-F358,0)</f>
        <v>1.359146010493939E-2</v>
      </c>
    </row>
    <row r="359" spans="1:14">
      <c r="A359" s="873"/>
      <c r="B359" s="1059"/>
      <c r="C359" s="768" t="s">
        <v>120</v>
      </c>
      <c r="D359" s="769" t="s">
        <v>119</v>
      </c>
      <c r="E359" s="275">
        <f>IFERROR(IF(SA!$C$3="Yes",SA!K57,SA!K57*(1-'Gap data'!$C106)),"")</f>
        <v>0</v>
      </c>
      <c r="F359" s="275">
        <f>IFERROR(IF(SA!$C$3="Yes",SA!L57,SA!L57*(1-'Gap data'!$C106)),"")</f>
        <v>0</v>
      </c>
      <c r="G359" s="84"/>
      <c r="H359" s="100"/>
      <c r="I359" s="774" t="s">
        <v>408</v>
      </c>
      <c r="J359" s="775"/>
      <c r="K359" s="776"/>
      <c r="M359" s="767">
        <f>IFERROR(SA!K57-E359,0)</f>
        <v>0</v>
      </c>
      <c r="N359" s="767">
        <f>IFERROR(SA!L57-F359,0)</f>
        <v>0</v>
      </c>
    </row>
    <row r="360" spans="1:14">
      <c r="A360" s="873"/>
      <c r="B360" s="1059"/>
      <c r="C360" s="768" t="s">
        <v>122</v>
      </c>
      <c r="D360" s="769" t="s">
        <v>121</v>
      </c>
      <c r="E360" s="275">
        <f>IFERROR(IF(SA!$C$3="Yes",SA!K58,SA!K58*(1-'Gap data'!$C107)),"")</f>
        <v>0</v>
      </c>
      <c r="F360" s="275">
        <f>IFERROR(IF(SA!$C$3="Yes",SA!L58,SA!L58*(1-'Gap data'!$C107)),"")</f>
        <v>0</v>
      </c>
      <c r="G360" s="84"/>
      <c r="H360" s="777">
        <v>1</v>
      </c>
      <c r="I360" s="769" t="s">
        <v>397</v>
      </c>
      <c r="J360" s="85">
        <f>SUM(E325:E326,E331:E332)</f>
        <v>2.8888692152648896</v>
      </c>
      <c r="K360" s="85">
        <f>SUM(F325:F326,F331:F332)</f>
        <v>3.4980237462792116</v>
      </c>
      <c r="M360" s="767">
        <f>IFERROR(SA!K58-E360,0)</f>
        <v>0</v>
      </c>
      <c r="N360" s="767">
        <f>IFERROR(SA!L58-F360,0)</f>
        <v>0</v>
      </c>
    </row>
    <row r="361" spans="1:14">
      <c r="A361" s="873"/>
      <c r="B361" s="1059"/>
      <c r="C361" s="768" t="s">
        <v>124</v>
      </c>
      <c r="D361" s="769" t="s">
        <v>123</v>
      </c>
      <c r="E361" s="275">
        <f>IFERROR(IF(SA!$C$3="Yes",SA!K59,SA!K59*(1-'Gap data'!$C108)),"")</f>
        <v>0</v>
      </c>
      <c r="F361" s="275">
        <f>IFERROR(IF(SA!$C$3="Yes",SA!L59,SA!L59*(1-'Gap data'!$C108)),"")</f>
        <v>0</v>
      </c>
      <c r="G361" s="84"/>
      <c r="H361" s="777">
        <v>2</v>
      </c>
      <c r="I361" s="769" t="s">
        <v>398</v>
      </c>
      <c r="J361" s="85">
        <f>SUM(E333:E335,E338)</f>
        <v>124.60824327884772</v>
      </c>
      <c r="K361" s="85">
        <f>SUM(F333:F335,F338)</f>
        <v>122.24115578620754</v>
      </c>
      <c r="M361" s="767">
        <f>IFERROR(SA!K59-E361,0)</f>
        <v>0</v>
      </c>
      <c r="N361" s="767">
        <f>IFERROR(SA!L59-F361,0)</f>
        <v>0</v>
      </c>
    </row>
    <row r="362" spans="1:14">
      <c r="A362" s="873"/>
      <c r="B362" s="1059"/>
      <c r="C362" s="768" t="s">
        <v>58</v>
      </c>
      <c r="D362" s="769" t="s">
        <v>136</v>
      </c>
      <c r="E362" s="275">
        <f>IFERROR(IF(SA!$C$3="Yes",SA!K60,SA!K60*(1-'Gap data'!$C109)),"")</f>
        <v>43.447689822294016</v>
      </c>
      <c r="F362" s="275">
        <f>IFERROR(IF(SA!$C$3="Yes",SA!L60,SA!L60*(1-'Gap data'!$C109)),"")</f>
        <v>19.418225877515052</v>
      </c>
      <c r="G362" s="84"/>
      <c r="H362" s="777">
        <v>3</v>
      </c>
      <c r="I362" s="769" t="s">
        <v>323</v>
      </c>
      <c r="J362" s="85">
        <f>SUM(E362:E365)</f>
        <v>1275.4057758264864</v>
      </c>
      <c r="K362" s="85">
        <f>SUM(F362:F365)</f>
        <v>2183.6200612368916</v>
      </c>
      <c r="M362" s="767">
        <f>IFERROR(SA!K60-E362,0)</f>
        <v>2.5323101777059804</v>
      </c>
      <c r="N362" s="767">
        <f>IFERROR(SA!L60-F362,0)</f>
        <v>1.1317741224849485</v>
      </c>
    </row>
    <row r="363" spans="1:14">
      <c r="A363" s="873"/>
      <c r="B363" s="1059"/>
      <c r="C363" s="768" t="s">
        <v>59</v>
      </c>
      <c r="D363" s="769" t="s">
        <v>125</v>
      </c>
      <c r="E363" s="275">
        <f>IFERROR(IF(SA!$C$3="Yes",SA!K61,SA!K61*(1-'Gap data'!$C110)),"")</f>
        <v>1095.81</v>
      </c>
      <c r="F363" s="275">
        <f>IFERROR(IF(SA!$C$3="Yes",SA!L61,SA!L61*(1-'Gap data'!$C110)),"")</f>
        <v>2055.4</v>
      </c>
      <c r="G363" s="84"/>
      <c r="H363" s="777">
        <v>4</v>
      </c>
      <c r="I363" s="769" t="s">
        <v>159</v>
      </c>
      <c r="J363" s="85">
        <f t="shared" ref="J363" si="78">SUM(E352:E355)</f>
        <v>26269.20476591487</v>
      </c>
      <c r="K363" s="85">
        <f>SUM(F352:F355)</f>
        <v>26269.20476591487</v>
      </c>
      <c r="M363" s="767">
        <f>IFERROR(SA!K61-E363,0)</f>
        <v>0</v>
      </c>
      <c r="N363" s="767">
        <f>IFERROR(SA!L61-F363,0)</f>
        <v>0</v>
      </c>
    </row>
    <row r="364" spans="1:14">
      <c r="A364" s="873"/>
      <c r="B364" s="1059"/>
      <c r="C364" s="768" t="s">
        <v>60</v>
      </c>
      <c r="D364" s="773" t="s">
        <v>163</v>
      </c>
      <c r="E364" s="275">
        <f>IFERROR(IF(SA!$C$3="Yes",SA!K62,SA!K62*(1-'Gap data'!$C111)),"")</f>
        <v>0.31678219351915665</v>
      </c>
      <c r="F364" s="275">
        <f>IFERROR(IF(SA!$C$3="Yes",SA!L62,SA!L62*(1-'Gap data'!$C111)),"")</f>
        <v>0.13679231083781765</v>
      </c>
      <c r="G364" s="84"/>
      <c r="H364" s="777">
        <v>5</v>
      </c>
      <c r="I364" s="187" t="s">
        <v>399</v>
      </c>
      <c r="J364" s="85">
        <f>E366</f>
        <v>46.075373847840979</v>
      </c>
      <c r="K364" s="85">
        <f>F366</f>
        <v>28.915846456049174</v>
      </c>
      <c r="M364" s="767">
        <f>IFERROR(SA!K62-E364,0)</f>
        <v>0.12321780648084335</v>
      </c>
      <c r="N364" s="767">
        <f>IFERROR(SA!L62-F364,0)</f>
        <v>5.3207689162182353E-2</v>
      </c>
    </row>
    <row r="365" spans="1:14">
      <c r="A365" s="874"/>
      <c r="B365" s="1060"/>
      <c r="C365" s="768" t="s">
        <v>61</v>
      </c>
      <c r="D365" s="769" t="s">
        <v>126</v>
      </c>
      <c r="E365" s="275">
        <f>IFERROR(IF(SA!$C$3="Yes",SA!K63,SA!K63*(1-'Gap data'!$C112)),"")</f>
        <v>135.83130381067326</v>
      </c>
      <c r="F365" s="275">
        <f>IFERROR(IF(SA!$C$3="Yes",SA!L63,SA!L63*(1-'Gap data'!$C112)),"")</f>
        <v>108.66504304853861</v>
      </c>
      <c r="G365" s="84"/>
      <c r="H365" s="89">
        <v>6</v>
      </c>
      <c r="I365" s="105" t="s">
        <v>462</v>
      </c>
      <c r="J365" s="763">
        <f t="shared" ref="J365" si="79">E367</f>
        <v>56023.920726053708</v>
      </c>
      <c r="K365" s="763">
        <f t="shared" ref="K365" si="80">F367</f>
        <v>62533.561616391824</v>
      </c>
      <c r="M365" s="767">
        <f>IFERROR(SA!K63-E365,0)</f>
        <v>0.16869618932673802</v>
      </c>
      <c r="N365" s="767">
        <f>IFERROR(SA!L63-F365,0)</f>
        <v>0.13495695146139042</v>
      </c>
    </row>
    <row r="366" spans="1:14">
      <c r="A366" s="872" t="s">
        <v>62</v>
      </c>
      <c r="B366" s="1058" t="s">
        <v>164</v>
      </c>
      <c r="C366" s="768" t="s">
        <v>63</v>
      </c>
      <c r="D366" s="769" t="s">
        <v>165</v>
      </c>
      <c r="E366" s="275">
        <f>IFERROR(IF(SA!$C$3="Yes",SA!K64,SA!K64*(1-'Gap data'!$C113)),"")</f>
        <v>46.075373847840979</v>
      </c>
      <c r="F366" s="275">
        <f>IFERROR(IF(SA!$C$3="Yes",SA!L64,SA!L64*(1-'Gap data'!$C113)),"")</f>
        <v>28.915846456049174</v>
      </c>
      <c r="H366" s="89">
        <v>7</v>
      </c>
      <c r="I366" s="105" t="s">
        <v>463</v>
      </c>
      <c r="J366" s="763">
        <f>SUM(E368,E371)</f>
        <v>248.26</v>
      </c>
      <c r="K366" s="763">
        <f>SUM(F368,F371)</f>
        <v>258.42</v>
      </c>
      <c r="M366" s="767">
        <f>IFERROR(SA!K64-E366,0)</f>
        <v>30.611626152159019</v>
      </c>
      <c r="N366" s="767">
        <f>IFERROR(SA!L64-F366,0)</f>
        <v>19.211153543950829</v>
      </c>
    </row>
    <row r="367" spans="1:14">
      <c r="A367" s="873"/>
      <c r="B367" s="1059"/>
      <c r="C367" s="768" t="s">
        <v>64</v>
      </c>
      <c r="D367" s="769" t="s">
        <v>127</v>
      </c>
      <c r="E367" s="275">
        <f>IFERROR(IF(SA!$C$3="Yes",SA!K65,SA!K65*(1-'Gap data'!$C114)),"")</f>
        <v>56023.920726053708</v>
      </c>
      <c r="F367" s="275">
        <f>IFERROR(IF(SA!$C$3="Yes",SA!L65,SA!L65*(1-'Gap data'!$C114)),"")</f>
        <v>62533.561616391824</v>
      </c>
      <c r="G367" s="760" t="str">
        <f>G347</f>
        <v>SA</v>
      </c>
      <c r="H367" s="777">
        <v>8</v>
      </c>
      <c r="I367" s="769" t="s">
        <v>133</v>
      </c>
      <c r="J367" s="85">
        <f>E380</f>
        <v>15250</v>
      </c>
      <c r="K367" s="85">
        <f>F380</f>
        <v>45395.5</v>
      </c>
      <c r="M367" s="767">
        <f>IFERROR(SA!K65-E367,0)</f>
        <v>7774.5792739462922</v>
      </c>
      <c r="N367" s="767">
        <f>IFERROR(SA!L65-F367,0)</f>
        <v>8677.9383836081761</v>
      </c>
    </row>
    <row r="368" spans="1:14">
      <c r="A368" s="873"/>
      <c r="B368" s="1059"/>
      <c r="C368" s="768" t="s">
        <v>65</v>
      </c>
      <c r="D368" s="769" t="s">
        <v>166</v>
      </c>
      <c r="E368" s="275">
        <f>IFERROR(IF(SA!$C$3="Yes",SA!K66,SA!K66*(1-'Gap data'!$C115)),"")</f>
        <v>0</v>
      </c>
      <c r="F368" s="275">
        <f>IFERROR(IF(SA!$C$3="Yes",SA!L66,SA!L66*(1-'Gap data'!$C115)),"")</f>
        <v>0</v>
      </c>
      <c r="G368" s="69"/>
      <c r="H368" s="778"/>
      <c r="I368" s="779"/>
      <c r="J368" s="778"/>
      <c r="K368" s="778"/>
      <c r="M368" s="767">
        <f>IFERROR(SA!K66-E368,0)</f>
        <v>0</v>
      </c>
      <c r="N368" s="767">
        <f>IFERROR(SA!L66-F368,0)</f>
        <v>0</v>
      </c>
    </row>
    <row r="369" spans="1:14">
      <c r="A369" s="873"/>
      <c r="B369" s="1059"/>
      <c r="C369" s="768" t="s">
        <v>66</v>
      </c>
      <c r="D369" s="769" t="s">
        <v>173</v>
      </c>
      <c r="E369" s="275">
        <f>IFERROR(IF(SA!$C$3="Yes",SA!K67,SA!K67*(1-'Gap data'!$C116)),"")</f>
        <v>293.08057221815818</v>
      </c>
      <c r="F369" s="275">
        <f>IFERROR(IF(SA!$C$3="Yes",SA!L67,SA!L67*(1-'Gap data'!$C116)),"")</f>
        <v>281.88360670839086</v>
      </c>
      <c r="G369" s="69"/>
      <c r="H369" s="778"/>
      <c r="I369" s="779"/>
      <c r="J369" s="778"/>
      <c r="K369" s="778"/>
      <c r="M369" s="767">
        <f>IFERROR(SA!K67-E369,0)</f>
        <v>7.9427781841843625E-2</v>
      </c>
      <c r="N369" s="767">
        <f>IFERROR(SA!L67-F369,0)</f>
        <v>7.6393291609122116E-2</v>
      </c>
    </row>
    <row r="370" spans="1:14">
      <c r="A370" s="873"/>
      <c r="B370" s="1059"/>
      <c r="C370" s="768" t="s">
        <v>67</v>
      </c>
      <c r="D370" s="769" t="s">
        <v>174</v>
      </c>
      <c r="E370" s="275">
        <f>IFERROR(IF(SA!$C$3="Yes",SA!K68,SA!K68*(1-'Gap data'!$C117)),"")</f>
        <v>24.292331412725012</v>
      </c>
      <c r="F370" s="275">
        <f>IFERROR(IF(SA!$C$3="Yes",SA!L68,SA!L68*(1-'Gap data'!$C117)),"")</f>
        <v>12.963172368225454</v>
      </c>
      <c r="G370" s="69"/>
      <c r="H370" s="778"/>
      <c r="I370" s="779"/>
      <c r="J370" s="778"/>
      <c r="K370" s="778"/>
      <c r="M370" s="767">
        <f>IFERROR(SA!K68-E370,0)</f>
        <v>0.23766858727498885</v>
      </c>
      <c r="N370" s="767">
        <f>IFERROR(SA!L68-F370,0)</f>
        <v>0.12682763177454603</v>
      </c>
    </row>
    <row r="371" spans="1:14">
      <c r="A371" s="873"/>
      <c r="B371" s="1059"/>
      <c r="C371" s="768" t="s">
        <v>68</v>
      </c>
      <c r="D371" s="769" t="s">
        <v>175</v>
      </c>
      <c r="E371" s="275">
        <f>IFERROR(IF(SA!$C$3="Yes",SA!K69,SA!K69*(1-'Gap data'!$C118)),"")</f>
        <v>248.26</v>
      </c>
      <c r="F371" s="275">
        <f>IFERROR(IF(SA!$C$3="Yes",SA!L69,SA!L69*(1-'Gap data'!$C118)),"")</f>
        <v>258.42</v>
      </c>
      <c r="G371" s="69"/>
      <c r="H371" s="778"/>
      <c r="I371" s="779"/>
      <c r="J371" s="778"/>
      <c r="K371" s="778"/>
      <c r="M371" s="767">
        <f>IFERROR(SA!K69-E371,0)</f>
        <v>0</v>
      </c>
      <c r="N371" s="767">
        <f>IFERROR(SA!L69-F371,0)</f>
        <v>0</v>
      </c>
    </row>
    <row r="372" spans="1:14">
      <c r="A372" s="873"/>
      <c r="B372" s="1059"/>
      <c r="C372" s="768" t="s">
        <v>128</v>
      </c>
      <c r="D372" s="769" t="s">
        <v>167</v>
      </c>
      <c r="E372" s="99">
        <f>IF(ISNUMBER(SA!K70),SA!K70*IF(SA!$C$3="Yes",1,1-'Gap data'!$C119),0)+'Gap data'!$F$35</f>
        <v>83241.490519921586</v>
      </c>
      <c r="F372" s="99">
        <f>IF(ISNUMBER(SA!L70),SA!L70*IF(SA!$C$3="Yes",1,1-'Gap data'!$C119),0)+'Gap data'!$F$35</f>
        <v>101323.63577438123</v>
      </c>
      <c r="G372" s="69"/>
      <c r="H372" s="778"/>
      <c r="I372" s="779"/>
      <c r="J372" s="778"/>
      <c r="K372" s="778"/>
      <c r="M372" s="767"/>
      <c r="N372" s="767"/>
    </row>
    <row r="373" spans="1:14">
      <c r="A373" s="873"/>
      <c r="B373" s="1059"/>
      <c r="C373" s="768" t="s">
        <v>69</v>
      </c>
      <c r="D373" s="769" t="s">
        <v>129</v>
      </c>
      <c r="E373" s="275">
        <f>IFERROR(IF(SA!$C$3="Yes",SA!K71,SA!K71*(1-'Gap data'!$C120)),"")</f>
        <v>6704.6427666053796</v>
      </c>
      <c r="F373" s="275">
        <f>IFERROR(IF(SA!$C$3="Yes",SA!L71,SA!L71*(1-'Gap data'!$C120)),"")</f>
        <v>10017.272571961135</v>
      </c>
      <c r="G373" s="69"/>
      <c r="H373" s="778"/>
      <c r="I373" s="779"/>
      <c r="J373" s="778"/>
      <c r="K373" s="778"/>
      <c r="M373" s="767">
        <f>IFERROR(SA!K71-E373,0)</f>
        <v>2.2672333946202343</v>
      </c>
      <c r="N373" s="767">
        <f>IFERROR(SA!L71-F373,0)</f>
        <v>3.3874280388645275</v>
      </c>
    </row>
    <row r="374" spans="1:14">
      <c r="A374" s="874"/>
      <c r="B374" s="1060"/>
      <c r="C374" s="768" t="s">
        <v>70</v>
      </c>
      <c r="D374" s="769" t="s">
        <v>168</v>
      </c>
      <c r="E374" s="275">
        <f>IFERROR(IF(SA!$C$3="Yes",SA!K72,SA!K72*(1-'Gap data'!$C121)),"")</f>
        <v>965.36146374591101</v>
      </c>
      <c r="F374" s="275">
        <f>IFERROR(IF(SA!$C$3="Yes",SA!L72,SA!L72*(1-'Gap data'!$C121)),"")</f>
        <v>1950.8619149477659</v>
      </c>
      <c r="G374" s="69"/>
      <c r="H374" s="778"/>
      <c r="I374" s="779"/>
      <c r="J374" s="778"/>
      <c r="K374" s="778"/>
      <c r="M374" s="767">
        <f>IFERROR(SA!K72-E374,0)</f>
        <v>4.8536254088958231E-2</v>
      </c>
      <c r="N374" s="767">
        <f>IFERROR(SA!L72-F374,0)</f>
        <v>9.8085052234182513E-2</v>
      </c>
    </row>
    <row r="375" spans="1:14">
      <c r="A375" s="872" t="s">
        <v>71</v>
      </c>
      <c r="B375" s="1058" t="s">
        <v>169</v>
      </c>
      <c r="C375" s="768" t="s">
        <v>72</v>
      </c>
      <c r="D375" s="769" t="s">
        <v>170</v>
      </c>
      <c r="E375" s="275">
        <f>IFERROR(IF(SA!$C$3="Yes",SA!K73,SA!K73*(1-'Gap data'!$C122)),"")</f>
        <v>2693.4068173841956</v>
      </c>
      <c r="F375" s="275">
        <f>IFERROR(IF(SA!$C$3="Yes",SA!L73,SA!L73*(1-'Gap data'!$C122)),"")</f>
        <v>3291.4582792549631</v>
      </c>
      <c r="G375" s="69"/>
      <c r="H375" s="778"/>
      <c r="I375" s="779"/>
      <c r="J375" s="778"/>
      <c r="K375" s="778"/>
      <c r="M375" s="767">
        <f>IFERROR(SA!K73-E375,0)</f>
        <v>111.14318261580456</v>
      </c>
      <c r="N375" s="767">
        <f>IFERROR(SA!L73-F375,0)</f>
        <v>135.82172074503706</v>
      </c>
    </row>
    <row r="376" spans="1:14">
      <c r="A376" s="873"/>
      <c r="B376" s="1059"/>
      <c r="C376" s="768" t="s">
        <v>73</v>
      </c>
      <c r="D376" s="769" t="s">
        <v>130</v>
      </c>
      <c r="E376" s="275">
        <f>IFERROR(IF(SA!$C$3="Yes",SA!K74,SA!K74*(1-'Gap data'!$C123)),"")</f>
        <v>422.13661879096122</v>
      </c>
      <c r="F376" s="275">
        <f>IFERROR(IF(SA!$C$3="Yes",SA!L74,SA!L74*(1-'Gap data'!$C123)),"")</f>
        <v>334.91160375132284</v>
      </c>
      <c r="G376" s="69"/>
      <c r="H376" s="778"/>
      <c r="I376" s="779"/>
      <c r="J376" s="778"/>
      <c r="K376" s="778"/>
      <c r="M376" s="767">
        <f>IFERROR(SA!K74-E376,0)</f>
        <v>9.7033812090387528</v>
      </c>
      <c r="N376" s="767">
        <f>IFERROR(SA!L74-F376,0)</f>
        <v>7.6983962486771702</v>
      </c>
    </row>
    <row r="377" spans="1:14">
      <c r="A377" s="874"/>
      <c r="B377" s="1060"/>
      <c r="C377" s="768" t="s">
        <v>74</v>
      </c>
      <c r="D377" s="769" t="s">
        <v>131</v>
      </c>
      <c r="E377" s="275">
        <f>IFERROR(IF(SA!$C$3="Yes",SA!K75,SA!K75*(1-'Gap data'!$C124)),"")</f>
        <v>3.8791494654946246</v>
      </c>
      <c r="F377" s="275">
        <f>IFERROR(IF(SA!$C$3="Yes",SA!L75,SA!L75*(1-'Gap data'!$C124)),"")</f>
        <v>5.9942309606019029</v>
      </c>
      <c r="G377" s="69"/>
      <c r="H377" s="778"/>
      <c r="I377" s="779"/>
      <c r="J377" s="778"/>
      <c r="K377" s="778"/>
      <c r="M377" s="767">
        <f>IFERROR(SA!K75-E377,0)</f>
        <v>0.43085053450537503</v>
      </c>
      <c r="N377" s="767">
        <f>IFERROR(SA!L75-F377,0)</f>
        <v>0.66576903939809728</v>
      </c>
    </row>
    <row r="378" spans="1:14">
      <c r="A378" s="872" t="s">
        <v>75</v>
      </c>
      <c r="B378" s="1058" t="s">
        <v>76</v>
      </c>
      <c r="C378" s="768" t="s">
        <v>77</v>
      </c>
      <c r="D378" s="773" t="s">
        <v>171</v>
      </c>
      <c r="E378" s="275">
        <f>IFERROR(IF(SA!$C$3="Yes",SA!K76,SA!K76*(1-'Gap data'!$C125)),"")</f>
        <v>114.16369785895004</v>
      </c>
      <c r="F378" s="275">
        <f>IFERROR(IF(SA!$C$3="Yes",SA!L76,SA!L76*(1-'Gap data'!$C125)),"")</f>
        <v>153.67585327324005</v>
      </c>
      <c r="G378" s="69"/>
      <c r="H378" s="778"/>
      <c r="I378" s="779"/>
      <c r="J378" s="778"/>
      <c r="K378" s="778"/>
      <c r="M378" s="767">
        <f>IFERROR(SA!K76-E378,0)</f>
        <v>38.306302141049954</v>
      </c>
      <c r="N378" s="767">
        <f>IFERROR(SA!L76-F378,0)</f>
        <v>51.564146726759958</v>
      </c>
    </row>
    <row r="379" spans="1:14">
      <c r="A379" s="873"/>
      <c r="B379" s="1059"/>
      <c r="C379" s="768" t="s">
        <v>78</v>
      </c>
      <c r="D379" s="769" t="s">
        <v>132</v>
      </c>
      <c r="E379" s="275">
        <f>IFERROR(IF(SA!$C$3="Yes",SA!K77,SA!K77*(1-'Gap data'!$C126)),"")</f>
        <v>2.1901914310230617</v>
      </c>
      <c r="F379" s="275">
        <f>IFERROR(IF(SA!$C$3="Yes",SA!L77,SA!L77*(1-'Gap data'!$C126)),"")</f>
        <v>1.5982478010168288</v>
      </c>
      <c r="G379" s="69"/>
      <c r="H379" s="778"/>
      <c r="I379" s="779"/>
      <c r="J379" s="778"/>
      <c r="K379" s="778"/>
      <c r="M379" s="767">
        <f>IFERROR(SA!K77-E379,0)</f>
        <v>2.980856897693851E-2</v>
      </c>
      <c r="N379" s="767">
        <f>IFERROR(SA!L77-F379,0)</f>
        <v>2.1752198983171267E-2</v>
      </c>
    </row>
    <row r="380" spans="1:14">
      <c r="A380" s="873"/>
      <c r="B380" s="1059"/>
      <c r="C380" s="768" t="s">
        <v>134</v>
      </c>
      <c r="D380" s="769" t="s">
        <v>133</v>
      </c>
      <c r="E380" s="99">
        <f>'Gap data'!$F$42</f>
        <v>15250</v>
      </c>
      <c r="F380" s="99">
        <f>'Gap data'!H42</f>
        <v>45395.5</v>
      </c>
      <c r="G380" s="69"/>
      <c r="H380" s="778"/>
      <c r="I380" s="779"/>
      <c r="J380" s="778"/>
      <c r="K380" s="778"/>
      <c r="M380" s="767"/>
      <c r="N380" s="767"/>
    </row>
    <row r="381" spans="1:14">
      <c r="A381" s="874"/>
      <c r="B381" s="1060"/>
      <c r="C381" s="768" t="s">
        <v>172</v>
      </c>
      <c r="D381" s="769" t="s">
        <v>135</v>
      </c>
      <c r="E381" s="275">
        <f>IFERROR(IF(SA!$C$3="Yes",SA!K79,SA!K79*(1-'Gap data'!$C128)),"")</f>
        <v>0.94385388587521513</v>
      </c>
      <c r="F381" s="275">
        <f>IFERROR(IF(SA!$C$3="Yes",SA!L79,SA!L79*(1-'Gap data'!$C128)),"")</f>
        <v>0</v>
      </c>
      <c r="G381" s="69"/>
      <c r="H381" s="778"/>
      <c r="I381" s="779"/>
      <c r="J381" s="778"/>
      <c r="K381" s="778"/>
      <c r="M381" s="767">
        <f>IFERROR(SA!K79-E381,0)</f>
        <v>1.6146114124784838E-2</v>
      </c>
      <c r="N381" s="767">
        <f>IFERROR(SA!L79-F381,0)</f>
        <v>0</v>
      </c>
    </row>
    <row r="382" spans="1:14">
      <c r="G382" s="69"/>
      <c r="H382" s="778"/>
      <c r="I382" s="779"/>
      <c r="J382" s="778"/>
      <c r="K382" s="778"/>
    </row>
    <row r="383" spans="1:14" s="625" customFormat="1" ht="15.75">
      <c r="A383" s="625" t="s">
        <v>658</v>
      </c>
      <c r="D383" s="758"/>
      <c r="H383" s="625" t="str">
        <f>A383</f>
        <v>Adjusted Tas data</v>
      </c>
      <c r="I383" s="758"/>
    </row>
    <row r="384" spans="1:14">
      <c r="G384" s="109"/>
    </row>
    <row r="385" spans="1:11">
      <c r="A385" s="872" t="s">
        <v>3</v>
      </c>
      <c r="B385" s="1058" t="s">
        <v>137</v>
      </c>
      <c r="C385" s="768" t="s">
        <v>4</v>
      </c>
      <c r="D385" s="769" t="s">
        <v>79</v>
      </c>
      <c r="E385" s="88" t="str">
        <f>TAS!K8</f>
        <v/>
      </c>
      <c r="F385" s="88" t="str">
        <f>TAS!L8</f>
        <v/>
      </c>
      <c r="G385" s="84"/>
      <c r="H385" s="86" t="s">
        <v>324</v>
      </c>
      <c r="I385" s="87" t="s">
        <v>325</v>
      </c>
      <c r="J385" s="88">
        <f>E450</f>
        <v>20.149999999999999</v>
      </c>
      <c r="K385" s="88">
        <f>F450</f>
        <v>3.6</v>
      </c>
    </row>
    <row r="386" spans="1:11">
      <c r="A386" s="873"/>
      <c r="B386" s="1059"/>
      <c r="C386" s="768" t="s">
        <v>138</v>
      </c>
      <c r="D386" s="769" t="s">
        <v>139</v>
      </c>
      <c r="E386" s="88" t="str">
        <f>TAS!K9</f>
        <v/>
      </c>
      <c r="F386" s="88" t="str">
        <f>TAS!L9</f>
        <v/>
      </c>
      <c r="G386" s="84"/>
      <c r="H386" s="86" t="s">
        <v>326</v>
      </c>
      <c r="I386" s="87" t="s">
        <v>327</v>
      </c>
      <c r="J386" s="88" t="str">
        <f>E452</f>
        <v/>
      </c>
      <c r="K386" s="88" t="str">
        <f>F452</f>
        <v/>
      </c>
    </row>
    <row r="387" spans="1:11">
      <c r="A387" s="874"/>
      <c r="B387" s="1060"/>
      <c r="C387" s="768" t="s">
        <v>81</v>
      </c>
      <c r="D387" s="769" t="s">
        <v>80</v>
      </c>
      <c r="E387" s="88" t="str">
        <f>TAS!K10</f>
        <v/>
      </c>
      <c r="F387" s="88" t="str">
        <f>TAS!L10</f>
        <v/>
      </c>
      <c r="G387" s="84"/>
      <c r="H387" s="86" t="s">
        <v>328</v>
      </c>
      <c r="I387" s="87" t="s">
        <v>130</v>
      </c>
      <c r="J387" s="88">
        <f>E451</f>
        <v>14.7545</v>
      </c>
      <c r="K387" s="88">
        <f>F451</f>
        <v>7.6479999999999997</v>
      </c>
    </row>
    <row r="388" spans="1:11">
      <c r="A388" s="90" t="s">
        <v>5</v>
      </c>
      <c r="B388" s="187" t="s">
        <v>6</v>
      </c>
      <c r="C388" s="768" t="s">
        <v>7</v>
      </c>
      <c r="D388" s="769" t="s">
        <v>82</v>
      </c>
      <c r="E388" s="88" t="str">
        <f>TAS!K11</f>
        <v/>
      </c>
      <c r="F388" s="88">
        <f>TAS!L11</f>
        <v>0.6</v>
      </c>
      <c r="G388" s="84"/>
      <c r="H388" s="86" t="s">
        <v>329</v>
      </c>
      <c r="I388" s="87" t="s">
        <v>330</v>
      </c>
      <c r="J388" s="88" t="str">
        <f>E421</f>
        <v/>
      </c>
      <c r="K388" s="88">
        <f>F421</f>
        <v>0.28499999999999998</v>
      </c>
    </row>
    <row r="389" spans="1:11">
      <c r="A389" s="90" t="s">
        <v>8</v>
      </c>
      <c r="B389" s="187" t="s">
        <v>140</v>
      </c>
      <c r="C389" s="768" t="s">
        <v>9</v>
      </c>
      <c r="D389" s="769" t="s">
        <v>83</v>
      </c>
      <c r="E389" s="88" t="str">
        <f>TAS!K12</f>
        <v/>
      </c>
      <c r="F389" s="88">
        <f>TAS!L12</f>
        <v>1.6</v>
      </c>
      <c r="G389" s="84"/>
      <c r="H389" s="86" t="s">
        <v>331</v>
      </c>
      <c r="I389" s="87" t="s">
        <v>332</v>
      </c>
      <c r="J389" s="88" t="str">
        <f>E423</f>
        <v/>
      </c>
      <c r="K389" s="88" t="str">
        <f>F423</f>
        <v/>
      </c>
    </row>
    <row r="390" spans="1:11">
      <c r="A390" s="872" t="s">
        <v>10</v>
      </c>
      <c r="B390" s="1058" t="s">
        <v>11</v>
      </c>
      <c r="C390" s="768" t="s">
        <v>12</v>
      </c>
      <c r="D390" s="769" t="s">
        <v>84</v>
      </c>
      <c r="E390" s="88" t="str">
        <f>TAS!K13</f>
        <v/>
      </c>
      <c r="F390" s="88" t="str">
        <f>TAS!L13</f>
        <v/>
      </c>
      <c r="G390" s="84"/>
      <c r="H390" s="86" t="s">
        <v>333</v>
      </c>
      <c r="I390" s="87" t="s">
        <v>334</v>
      </c>
      <c r="J390" s="88" t="str">
        <f>E420</f>
        <v/>
      </c>
      <c r="K390" s="88" t="str">
        <f>F420</f>
        <v/>
      </c>
    </row>
    <row r="391" spans="1:11">
      <c r="A391" s="873"/>
      <c r="B391" s="1059"/>
      <c r="C391" s="768" t="s">
        <v>13</v>
      </c>
      <c r="D391" s="769" t="s">
        <v>85</v>
      </c>
      <c r="E391" s="88" t="str">
        <f>TAS!K14</f>
        <v/>
      </c>
      <c r="F391" s="88" t="str">
        <f>TAS!L14</f>
        <v/>
      </c>
      <c r="G391" s="84"/>
      <c r="H391" s="86" t="s">
        <v>335</v>
      </c>
      <c r="I391" s="87" t="s">
        <v>336</v>
      </c>
      <c r="J391" s="88" t="str">
        <f>E386</f>
        <v/>
      </c>
      <c r="K391" s="88" t="str">
        <f>F386</f>
        <v/>
      </c>
    </row>
    <row r="392" spans="1:11">
      <c r="A392" s="873"/>
      <c r="B392" s="1059"/>
      <c r="C392" s="768" t="s">
        <v>14</v>
      </c>
      <c r="D392" s="769" t="s">
        <v>86</v>
      </c>
      <c r="E392" s="88">
        <f>TAS!K15</f>
        <v>1.5</v>
      </c>
      <c r="F392" s="88" t="str">
        <f>TAS!L15</f>
        <v/>
      </c>
      <c r="G392" s="84"/>
      <c r="H392" s="86" t="s">
        <v>337</v>
      </c>
      <c r="I392" s="87" t="s">
        <v>322</v>
      </c>
      <c r="J392" s="88">
        <f t="shared" ref="J392:J393" si="81">E424</f>
        <v>17.88</v>
      </c>
      <c r="K392" s="88">
        <f t="shared" ref="K392:K393" si="82">F424</f>
        <v>20.059999999999999</v>
      </c>
    </row>
    <row r="393" spans="1:11">
      <c r="A393" s="873"/>
      <c r="B393" s="1059"/>
      <c r="C393" s="768" t="s">
        <v>15</v>
      </c>
      <c r="D393" s="769" t="s">
        <v>87</v>
      </c>
      <c r="E393" s="88" t="str">
        <f>TAS!K16</f>
        <v/>
      </c>
      <c r="F393" s="88" t="str">
        <f>TAS!L16</f>
        <v/>
      </c>
      <c r="G393" s="84"/>
      <c r="H393" s="86" t="s">
        <v>338</v>
      </c>
      <c r="I393" s="87" t="s">
        <v>339</v>
      </c>
      <c r="J393" s="88">
        <f t="shared" si="81"/>
        <v>146.86000000000001</v>
      </c>
      <c r="K393" s="88">
        <f t="shared" si="82"/>
        <v>160</v>
      </c>
    </row>
    <row r="394" spans="1:11">
      <c r="A394" s="873"/>
      <c r="B394" s="1059"/>
      <c r="C394" s="768" t="s">
        <v>16</v>
      </c>
      <c r="D394" s="769" t="s">
        <v>88</v>
      </c>
      <c r="E394" s="88" t="str">
        <f>TAS!K17</f>
        <v/>
      </c>
      <c r="F394" s="88" t="str">
        <f>TAS!L17</f>
        <v/>
      </c>
      <c r="G394" s="84"/>
      <c r="H394" s="86" t="s">
        <v>340</v>
      </c>
      <c r="I394" s="87" t="s">
        <v>341</v>
      </c>
      <c r="J394" s="88">
        <f>E431</f>
        <v>5.0420400000000001</v>
      </c>
      <c r="K394" s="88">
        <f>F431</f>
        <v>28.04</v>
      </c>
    </row>
    <row r="395" spans="1:11">
      <c r="A395" s="873"/>
      <c r="B395" s="1059"/>
      <c r="C395" s="768" t="s">
        <v>17</v>
      </c>
      <c r="D395" s="769" t="s">
        <v>89</v>
      </c>
      <c r="E395" s="88" t="str">
        <f>TAS!K18</f>
        <v/>
      </c>
      <c r="F395" s="88" t="str">
        <f>TAS!L18</f>
        <v/>
      </c>
      <c r="G395" s="84"/>
      <c r="H395" s="86" t="s">
        <v>342</v>
      </c>
      <c r="I395" s="87" t="s">
        <v>343</v>
      </c>
      <c r="J395" s="88" t="str">
        <f>E426</f>
        <v/>
      </c>
      <c r="K395" s="88" t="str">
        <f>F426</f>
        <v/>
      </c>
    </row>
    <row r="396" spans="1:11">
      <c r="A396" s="873"/>
      <c r="B396" s="1059"/>
      <c r="C396" s="768" t="s">
        <v>18</v>
      </c>
      <c r="D396" s="769" t="s">
        <v>90</v>
      </c>
      <c r="E396" s="88" t="str">
        <f>TAS!K19</f>
        <v/>
      </c>
      <c r="F396" s="88" t="str">
        <f>TAS!L19</f>
        <v/>
      </c>
      <c r="G396" s="84"/>
      <c r="H396" s="86" t="s">
        <v>344</v>
      </c>
      <c r="I396" s="87" t="s">
        <v>345</v>
      </c>
      <c r="J396" s="88">
        <f t="shared" ref="J396:J397" si="83">E415</f>
        <v>15.64</v>
      </c>
      <c r="K396" s="88">
        <f t="shared" ref="K396:K397" si="84">F415</f>
        <v>5.3239999999999998</v>
      </c>
    </row>
    <row r="397" spans="1:11">
      <c r="A397" s="873"/>
      <c r="B397" s="1059"/>
      <c r="C397" s="768" t="s">
        <v>19</v>
      </c>
      <c r="D397" s="769" t="s">
        <v>141</v>
      </c>
      <c r="E397" s="88" t="str">
        <f>TAS!K20</f>
        <v/>
      </c>
      <c r="F397" s="88" t="str">
        <f>TAS!L20</f>
        <v/>
      </c>
      <c r="G397" s="84"/>
      <c r="H397" s="86" t="s">
        <v>346</v>
      </c>
      <c r="I397" s="87" t="s">
        <v>347</v>
      </c>
      <c r="J397" s="88" t="str">
        <f t="shared" si="83"/>
        <v/>
      </c>
      <c r="K397" s="88" t="str">
        <f t="shared" si="84"/>
        <v/>
      </c>
    </row>
    <row r="398" spans="1:11">
      <c r="A398" s="873"/>
      <c r="B398" s="1059"/>
      <c r="C398" s="768" t="s">
        <v>142</v>
      </c>
      <c r="D398" s="769" t="s">
        <v>143</v>
      </c>
      <c r="E398" s="88" t="str">
        <f>TAS!K21</f>
        <v/>
      </c>
      <c r="F398" s="88" t="str">
        <f>TAS!L21</f>
        <v/>
      </c>
      <c r="G398" s="84"/>
      <c r="H398" s="86" t="s">
        <v>348</v>
      </c>
      <c r="I398" s="87" t="s">
        <v>349</v>
      </c>
      <c r="J398" s="88">
        <f>E453</f>
        <v>6.5759999999999996</v>
      </c>
      <c r="K398" s="88">
        <f>F453</f>
        <v>16.301100000000002</v>
      </c>
    </row>
    <row r="399" spans="1:11">
      <c r="A399" s="873"/>
      <c r="B399" s="1059"/>
      <c r="C399" s="768" t="s">
        <v>20</v>
      </c>
      <c r="D399" s="769" t="s">
        <v>91</v>
      </c>
      <c r="E399" s="88" t="str">
        <f>TAS!K22</f>
        <v/>
      </c>
      <c r="F399" s="88" t="str">
        <f>TAS!L22</f>
        <v/>
      </c>
      <c r="G399" s="84"/>
      <c r="H399" s="86" t="s">
        <v>350</v>
      </c>
      <c r="I399" s="87" t="s">
        <v>351</v>
      </c>
      <c r="J399" s="88">
        <f t="shared" ref="J399" si="85">SUM(E456,E411:E412,E414)</f>
        <v>0</v>
      </c>
      <c r="K399" s="88">
        <f t="shared" ref="K399" si="86">SUM(F456,F411:F412,F414)</f>
        <v>2.7</v>
      </c>
    </row>
    <row r="400" spans="1:11">
      <c r="A400" s="873"/>
      <c r="B400" s="1059"/>
      <c r="C400" s="768" t="s">
        <v>21</v>
      </c>
      <c r="D400" s="769" t="s">
        <v>144</v>
      </c>
      <c r="E400" s="88" t="str">
        <f>TAS!K23</f>
        <v/>
      </c>
      <c r="F400" s="88" t="str">
        <f>TAS!L23</f>
        <v/>
      </c>
      <c r="G400" s="84"/>
      <c r="H400" s="86" t="s">
        <v>352</v>
      </c>
      <c r="I400" s="87" t="s">
        <v>353</v>
      </c>
      <c r="J400" s="88">
        <f>E454</f>
        <v>6.2</v>
      </c>
      <c r="K400" s="88">
        <f>F454</f>
        <v>1.52</v>
      </c>
    </row>
    <row r="401" spans="1:11">
      <c r="A401" s="873"/>
      <c r="B401" s="1059"/>
      <c r="C401" s="768" t="s">
        <v>22</v>
      </c>
      <c r="D401" s="769" t="s">
        <v>92</v>
      </c>
      <c r="E401" s="88" t="str">
        <f>TAS!K24</f>
        <v/>
      </c>
      <c r="F401" s="88" t="str">
        <f>TAS!L24</f>
        <v/>
      </c>
      <c r="G401" s="84"/>
      <c r="H401" s="86" t="s">
        <v>354</v>
      </c>
      <c r="I401" s="87" t="s">
        <v>355</v>
      </c>
      <c r="J401" s="88" t="str">
        <f>E385</f>
        <v/>
      </c>
      <c r="K401" s="88" t="str">
        <f>F385</f>
        <v/>
      </c>
    </row>
    <row r="402" spans="1:11">
      <c r="A402" s="873"/>
      <c r="B402" s="1059"/>
      <c r="C402" s="768" t="s">
        <v>23</v>
      </c>
      <c r="D402" s="769" t="s">
        <v>93</v>
      </c>
      <c r="E402" s="88">
        <f>TAS!K25</f>
        <v>85765.534</v>
      </c>
      <c r="F402" s="88">
        <f>TAS!L25</f>
        <v>60062.54</v>
      </c>
      <c r="G402" s="84"/>
      <c r="H402" s="86" t="s">
        <v>356</v>
      </c>
      <c r="I402" s="87" t="s">
        <v>357</v>
      </c>
      <c r="J402" s="88">
        <f t="shared" ref="J402" si="87">SUM(E447,E444:E445,E449)</f>
        <v>15216.854269260399</v>
      </c>
      <c r="K402" s="88">
        <f t="shared" ref="K402" si="88">SUM(F447,F444:F445,F449)</f>
        <v>15226.854269260399</v>
      </c>
    </row>
    <row r="403" spans="1:11">
      <c r="A403" s="873"/>
      <c r="B403" s="1059"/>
      <c r="C403" s="768" t="s">
        <v>24</v>
      </c>
      <c r="D403" s="769" t="s">
        <v>94</v>
      </c>
      <c r="E403" s="88">
        <f>TAS!K26</f>
        <v>52145</v>
      </c>
      <c r="F403" s="88">
        <f>TAS!L26</f>
        <v>52142</v>
      </c>
      <c r="G403" s="760" t="s">
        <v>431</v>
      </c>
      <c r="H403" s="770"/>
      <c r="I403" s="94" t="s">
        <v>407</v>
      </c>
      <c r="J403" s="771"/>
      <c r="K403" s="772"/>
    </row>
    <row r="404" spans="1:11">
      <c r="A404" s="873"/>
      <c r="B404" s="1059"/>
      <c r="C404" s="768" t="s">
        <v>25</v>
      </c>
      <c r="D404" s="769" t="s">
        <v>145</v>
      </c>
      <c r="E404" s="88" t="str">
        <f>TAS!K27</f>
        <v/>
      </c>
      <c r="F404" s="88" t="str">
        <f>TAS!L27</f>
        <v/>
      </c>
      <c r="G404" s="84"/>
      <c r="H404" s="86" t="s">
        <v>358</v>
      </c>
      <c r="I404" s="87" t="s">
        <v>84</v>
      </c>
      <c r="J404" s="88" t="str">
        <f>E390</f>
        <v/>
      </c>
      <c r="K404" s="88" t="str">
        <f>F390</f>
        <v/>
      </c>
    </row>
    <row r="405" spans="1:11">
      <c r="A405" s="873"/>
      <c r="B405" s="1059"/>
      <c r="C405" s="768" t="s">
        <v>146</v>
      </c>
      <c r="D405" s="769" t="s">
        <v>147</v>
      </c>
      <c r="E405" s="88" t="str">
        <f>TAS!K28</f>
        <v/>
      </c>
      <c r="F405" s="88" t="str">
        <f>TAS!L28</f>
        <v/>
      </c>
      <c r="G405" s="84"/>
      <c r="H405" s="86" t="s">
        <v>359</v>
      </c>
      <c r="I405" s="87" t="s">
        <v>90</v>
      </c>
      <c r="J405" s="88" t="str">
        <f>E396</f>
        <v/>
      </c>
      <c r="K405" s="88" t="str">
        <f>F396</f>
        <v/>
      </c>
    </row>
    <row r="406" spans="1:11">
      <c r="A406" s="873"/>
      <c r="B406" s="1059"/>
      <c r="C406" s="768" t="s">
        <v>148</v>
      </c>
      <c r="D406" s="769" t="s">
        <v>149</v>
      </c>
      <c r="E406" s="88" t="str">
        <f>TAS!K29</f>
        <v/>
      </c>
      <c r="F406" s="88" t="str">
        <f>TAS!L29</f>
        <v/>
      </c>
      <c r="G406" s="84"/>
      <c r="H406" s="86" t="s">
        <v>360</v>
      </c>
      <c r="I406" s="87" t="s">
        <v>361</v>
      </c>
      <c r="J406" s="88" t="str">
        <f>E394</f>
        <v/>
      </c>
      <c r="K406" s="88" t="str">
        <f>F394</f>
        <v/>
      </c>
    </row>
    <row r="407" spans="1:11">
      <c r="A407" s="873"/>
      <c r="B407" s="1059"/>
      <c r="C407" s="768" t="s">
        <v>26</v>
      </c>
      <c r="D407" s="769" t="s">
        <v>150</v>
      </c>
      <c r="E407" s="88" t="str">
        <f>TAS!K30</f>
        <v/>
      </c>
      <c r="F407" s="88" t="str">
        <f>TAS!L30</f>
        <v/>
      </c>
      <c r="G407" s="84"/>
      <c r="H407" s="86" t="s">
        <v>362</v>
      </c>
      <c r="I407" s="87" t="s">
        <v>91</v>
      </c>
      <c r="J407" s="88" t="str">
        <f>E399</f>
        <v/>
      </c>
      <c r="K407" s="88" t="str">
        <f>F399</f>
        <v/>
      </c>
    </row>
    <row r="408" spans="1:11">
      <c r="A408" s="873"/>
      <c r="B408" s="1059"/>
      <c r="C408" s="768" t="s">
        <v>27</v>
      </c>
      <c r="D408" s="769" t="s">
        <v>95</v>
      </c>
      <c r="E408" s="88">
        <f>TAS!K31</f>
        <v>1614.06</v>
      </c>
      <c r="F408" s="88">
        <f>TAS!L31</f>
        <v>1760.83</v>
      </c>
      <c r="G408" s="84"/>
      <c r="H408" s="86" t="s">
        <v>363</v>
      </c>
      <c r="I408" s="87" t="s">
        <v>94</v>
      </c>
      <c r="J408" s="88">
        <f>E403</f>
        <v>52145</v>
      </c>
      <c r="K408" s="88">
        <f>F403</f>
        <v>52142</v>
      </c>
    </row>
    <row r="409" spans="1:11">
      <c r="A409" s="873"/>
      <c r="B409" s="1059"/>
      <c r="C409" s="768" t="s">
        <v>28</v>
      </c>
      <c r="D409" s="769" t="s">
        <v>96</v>
      </c>
      <c r="E409" s="88" t="str">
        <f>TAS!K32</f>
        <v/>
      </c>
      <c r="F409" s="88" t="str">
        <f>TAS!L32</f>
        <v/>
      </c>
      <c r="G409" s="84"/>
      <c r="H409" s="86" t="s">
        <v>364</v>
      </c>
      <c r="I409" s="87" t="s">
        <v>87</v>
      </c>
      <c r="J409" s="88" t="str">
        <f>E393</f>
        <v/>
      </c>
      <c r="K409" s="88" t="str">
        <f>F393</f>
        <v/>
      </c>
    </row>
    <row r="410" spans="1:11">
      <c r="A410" s="873"/>
      <c r="B410" s="1059"/>
      <c r="C410" s="768" t="s">
        <v>29</v>
      </c>
      <c r="D410" s="769" t="s">
        <v>97</v>
      </c>
      <c r="E410" s="88" t="str">
        <f>TAS!K33</f>
        <v/>
      </c>
      <c r="F410" s="88" t="str">
        <f>TAS!L33</f>
        <v/>
      </c>
      <c r="G410" s="84"/>
      <c r="H410" s="86" t="s">
        <v>365</v>
      </c>
      <c r="I410" s="87" t="s">
        <v>145</v>
      </c>
      <c r="J410" s="88" t="str">
        <f>E404</f>
        <v/>
      </c>
      <c r="K410" s="88" t="str">
        <f>F404</f>
        <v/>
      </c>
    </row>
    <row r="411" spans="1:11">
      <c r="A411" s="873"/>
      <c r="B411" s="1059"/>
      <c r="C411" s="768" t="s">
        <v>99</v>
      </c>
      <c r="D411" s="769" t="s">
        <v>98</v>
      </c>
      <c r="E411" s="88" t="str">
        <f>TAS!K34</f>
        <v/>
      </c>
      <c r="F411" s="88" t="str">
        <f>TAS!L34</f>
        <v/>
      </c>
      <c r="G411" s="84"/>
      <c r="H411" s="86" t="s">
        <v>366</v>
      </c>
      <c r="I411" s="87" t="s">
        <v>89</v>
      </c>
      <c r="J411" s="88" t="str">
        <f>E395</f>
        <v/>
      </c>
      <c r="K411" s="88" t="str">
        <f>F395</f>
        <v/>
      </c>
    </row>
    <row r="412" spans="1:11">
      <c r="A412" s="873"/>
      <c r="B412" s="1059"/>
      <c r="C412" s="768" t="s">
        <v>101</v>
      </c>
      <c r="D412" s="769" t="s">
        <v>100</v>
      </c>
      <c r="E412" s="88" t="str">
        <f>TAS!K35</f>
        <v/>
      </c>
      <c r="F412" s="88" t="str">
        <f>TAS!L35</f>
        <v/>
      </c>
      <c r="G412" s="84"/>
      <c r="H412" s="86" t="s">
        <v>367</v>
      </c>
      <c r="I412" s="87" t="s">
        <v>141</v>
      </c>
      <c r="J412" s="88" t="str">
        <f>E397</f>
        <v/>
      </c>
      <c r="K412" s="88" t="str">
        <f>F397</f>
        <v/>
      </c>
    </row>
    <row r="413" spans="1:11">
      <c r="A413" s="874"/>
      <c r="B413" s="1060"/>
      <c r="C413" s="768" t="s">
        <v>30</v>
      </c>
      <c r="D413" s="769" t="s">
        <v>151</v>
      </c>
      <c r="E413" s="88" t="str">
        <f>TAS!K36</f>
        <v/>
      </c>
      <c r="F413" s="88" t="str">
        <f>TAS!L36</f>
        <v/>
      </c>
      <c r="G413" s="84"/>
      <c r="H413" s="86" t="s">
        <v>368</v>
      </c>
      <c r="I413" s="87" t="s">
        <v>147</v>
      </c>
      <c r="J413" s="88" t="str">
        <f>E405</f>
        <v/>
      </c>
      <c r="K413" s="88" t="str">
        <f>F405</f>
        <v/>
      </c>
    </row>
    <row r="414" spans="1:11">
      <c r="A414" s="90" t="s">
        <v>31</v>
      </c>
      <c r="B414" s="761" t="s">
        <v>32</v>
      </c>
      <c r="C414" s="768" t="s">
        <v>33</v>
      </c>
      <c r="D414" s="769" t="s">
        <v>102</v>
      </c>
      <c r="E414" s="88" t="str">
        <f>TAS!K37</f>
        <v/>
      </c>
      <c r="F414" s="88">
        <f>TAS!L37</f>
        <v>2.7</v>
      </c>
      <c r="G414" s="84"/>
      <c r="H414" s="86" t="s">
        <v>369</v>
      </c>
      <c r="I414" s="87" t="s">
        <v>86</v>
      </c>
      <c r="J414" s="88">
        <f>E392</f>
        <v>1.5</v>
      </c>
      <c r="K414" s="88" t="str">
        <f>F392</f>
        <v/>
      </c>
    </row>
    <row r="415" spans="1:11">
      <c r="A415" s="872" t="s">
        <v>34</v>
      </c>
      <c r="B415" s="1058" t="s">
        <v>152</v>
      </c>
      <c r="C415" s="768" t="s">
        <v>35</v>
      </c>
      <c r="D415" s="769" t="s">
        <v>103</v>
      </c>
      <c r="E415" s="88">
        <f>TAS!K38</f>
        <v>15.64</v>
      </c>
      <c r="F415" s="88">
        <f>TAS!L38</f>
        <v>5.3239999999999998</v>
      </c>
      <c r="G415" s="84"/>
      <c r="H415" s="86" t="s">
        <v>370</v>
      </c>
      <c r="I415" s="87" t="s">
        <v>143</v>
      </c>
      <c r="J415" s="88" t="str">
        <f>E398</f>
        <v/>
      </c>
      <c r="K415" s="88" t="str">
        <f>F398</f>
        <v/>
      </c>
    </row>
    <row r="416" spans="1:11">
      <c r="A416" s="874"/>
      <c r="B416" s="1060"/>
      <c r="C416" s="768" t="s">
        <v>105</v>
      </c>
      <c r="D416" s="769" t="s">
        <v>104</v>
      </c>
      <c r="E416" s="88" t="str">
        <f>TAS!K39</f>
        <v/>
      </c>
      <c r="F416" s="88" t="str">
        <f>TAS!L39</f>
        <v/>
      </c>
      <c r="G416" s="84"/>
      <c r="H416" s="86" t="s">
        <v>371</v>
      </c>
      <c r="I416" s="87" t="s">
        <v>93</v>
      </c>
      <c r="J416" s="88">
        <f>E402</f>
        <v>85765.534</v>
      </c>
      <c r="K416" s="88">
        <f>F402</f>
        <v>60062.54</v>
      </c>
    </row>
    <row r="417" spans="1:11">
      <c r="A417" s="872" t="s">
        <v>37</v>
      </c>
      <c r="B417" s="1058" t="s">
        <v>153</v>
      </c>
      <c r="C417" s="768" t="s">
        <v>38</v>
      </c>
      <c r="D417" s="769" t="s">
        <v>106</v>
      </c>
      <c r="E417" s="88" t="str">
        <f>TAS!K40</f>
        <v/>
      </c>
      <c r="F417" s="88" t="str">
        <f>TAS!L40</f>
        <v/>
      </c>
      <c r="G417" s="84"/>
      <c r="H417" s="86" t="s">
        <v>372</v>
      </c>
      <c r="I417" s="87" t="s">
        <v>85</v>
      </c>
      <c r="J417" s="88" t="str">
        <f>E391</f>
        <v/>
      </c>
      <c r="K417" s="88" t="str">
        <f>F391</f>
        <v/>
      </c>
    </row>
    <row r="418" spans="1:11">
      <c r="A418" s="873"/>
      <c r="B418" s="1059"/>
      <c r="C418" s="768" t="s">
        <v>39</v>
      </c>
      <c r="D418" s="769" t="s">
        <v>107</v>
      </c>
      <c r="E418" s="88">
        <f>TAS!K41</f>
        <v>331.524</v>
      </c>
      <c r="F418" s="88">
        <f>TAS!L41</f>
        <v>627.84500000000003</v>
      </c>
      <c r="G418" s="84"/>
      <c r="H418" s="86" t="s">
        <v>373</v>
      </c>
      <c r="I418" s="87" t="s">
        <v>374</v>
      </c>
      <c r="J418" s="88" t="str">
        <f t="shared" ref="J418:J420" si="89">E387</f>
        <v/>
      </c>
      <c r="K418" s="88" t="str">
        <f t="shared" ref="K418:K420" si="90">F387</f>
        <v/>
      </c>
    </row>
    <row r="419" spans="1:11">
      <c r="A419" s="873"/>
      <c r="B419" s="1059"/>
      <c r="C419" s="768" t="s">
        <v>40</v>
      </c>
      <c r="D419" s="769" t="s">
        <v>108</v>
      </c>
      <c r="E419" s="88" t="str">
        <f>TAS!K42</f>
        <v/>
      </c>
      <c r="F419" s="88">
        <f>TAS!L42</f>
        <v>3.21</v>
      </c>
      <c r="G419" s="84"/>
      <c r="H419" s="86" t="s">
        <v>375</v>
      </c>
      <c r="I419" s="87" t="s">
        <v>82</v>
      </c>
      <c r="J419" s="88" t="str">
        <f t="shared" si="89"/>
        <v/>
      </c>
      <c r="K419" s="88">
        <f t="shared" si="90"/>
        <v>0.6</v>
      </c>
    </row>
    <row r="420" spans="1:11">
      <c r="A420" s="874"/>
      <c r="B420" s="1060"/>
      <c r="C420" s="768" t="s">
        <v>41</v>
      </c>
      <c r="D420" s="769" t="s">
        <v>109</v>
      </c>
      <c r="E420" s="88" t="str">
        <f>TAS!K43</f>
        <v/>
      </c>
      <c r="F420" s="88" t="str">
        <f>TAS!L43</f>
        <v/>
      </c>
      <c r="G420" s="84"/>
      <c r="H420" s="86" t="s">
        <v>376</v>
      </c>
      <c r="I420" s="87" t="s">
        <v>83</v>
      </c>
      <c r="J420" s="88" t="str">
        <f t="shared" si="89"/>
        <v/>
      </c>
      <c r="K420" s="88">
        <f t="shared" si="90"/>
        <v>1.6</v>
      </c>
    </row>
    <row r="421" spans="1:11">
      <c r="A421" s="872" t="s">
        <v>42</v>
      </c>
      <c r="B421" s="1058" t="s">
        <v>154</v>
      </c>
      <c r="C421" s="768" t="s">
        <v>43</v>
      </c>
      <c r="D421" s="769" t="s">
        <v>110</v>
      </c>
      <c r="E421" s="88" t="str">
        <f>TAS!K44</f>
        <v/>
      </c>
      <c r="F421" s="88">
        <f>TAS!L44</f>
        <v>0.28499999999999998</v>
      </c>
      <c r="G421" s="84"/>
      <c r="H421" s="86" t="s">
        <v>377</v>
      </c>
      <c r="I421" s="87" t="s">
        <v>378</v>
      </c>
      <c r="J421" s="88">
        <f>E448</f>
        <v>3957.1318868222356</v>
      </c>
      <c r="K421" s="88">
        <f>F448</f>
        <v>3960.5927064164121</v>
      </c>
    </row>
    <row r="422" spans="1:11">
      <c r="A422" s="873"/>
      <c r="B422" s="1059"/>
      <c r="C422" s="768" t="s">
        <v>44</v>
      </c>
      <c r="D422" s="769" t="s">
        <v>111</v>
      </c>
      <c r="E422" s="88" t="str">
        <f>TAS!K45</f>
        <v/>
      </c>
      <c r="F422" s="88" t="str">
        <f>TAS!L45</f>
        <v/>
      </c>
      <c r="G422" s="760" t="str">
        <f>G403</f>
        <v>Tas</v>
      </c>
      <c r="H422" s="86" t="s">
        <v>379</v>
      </c>
      <c r="I422" s="87" t="s">
        <v>176</v>
      </c>
      <c r="J422" s="88" t="str">
        <f>E422</f>
        <v/>
      </c>
      <c r="K422" s="88" t="str">
        <f>F422</f>
        <v/>
      </c>
    </row>
    <row r="423" spans="1:11">
      <c r="A423" s="874"/>
      <c r="B423" s="1060"/>
      <c r="C423" s="768" t="s">
        <v>45</v>
      </c>
      <c r="D423" s="769" t="s">
        <v>155</v>
      </c>
      <c r="E423" s="88" t="str">
        <f>TAS!K46</f>
        <v/>
      </c>
      <c r="F423" s="88" t="str">
        <f>TAS!L46</f>
        <v/>
      </c>
      <c r="G423" s="84"/>
      <c r="H423" s="86" t="s">
        <v>380</v>
      </c>
      <c r="I423" s="87" t="s">
        <v>381</v>
      </c>
      <c r="J423" s="88" t="str">
        <f>E436</f>
        <v/>
      </c>
      <c r="K423" s="88" t="str">
        <f>F436</f>
        <v/>
      </c>
    </row>
    <row r="424" spans="1:11">
      <c r="A424" s="872" t="s">
        <v>46</v>
      </c>
      <c r="B424" s="1058" t="s">
        <v>156</v>
      </c>
      <c r="C424" s="768" t="s">
        <v>47</v>
      </c>
      <c r="D424" s="769" t="s">
        <v>112</v>
      </c>
      <c r="E424" s="88">
        <f>TAS!K47</f>
        <v>17.88</v>
      </c>
      <c r="F424" s="88">
        <f>TAS!L47</f>
        <v>20.059999999999999</v>
      </c>
      <c r="G424" s="84"/>
      <c r="H424" s="86" t="s">
        <v>382</v>
      </c>
      <c r="I424" s="87" t="s">
        <v>383</v>
      </c>
      <c r="J424" s="88" t="str">
        <f>E432</f>
        <v/>
      </c>
      <c r="K424" s="88" t="str">
        <f>F432</f>
        <v/>
      </c>
    </row>
    <row r="425" spans="1:11">
      <c r="A425" s="873"/>
      <c r="B425" s="1059"/>
      <c r="C425" s="768" t="s">
        <v>48</v>
      </c>
      <c r="D425" s="769" t="s">
        <v>157</v>
      </c>
      <c r="E425" s="88">
        <f>TAS!K48</f>
        <v>146.86000000000001</v>
      </c>
      <c r="F425" s="88">
        <f>TAS!L48</f>
        <v>160</v>
      </c>
      <c r="G425" s="84"/>
      <c r="H425" s="86" t="s">
        <v>384</v>
      </c>
      <c r="I425" s="87" t="s">
        <v>106</v>
      </c>
      <c r="J425" s="88" t="str">
        <f>E417</f>
        <v/>
      </c>
      <c r="K425" s="88" t="str">
        <f>F417</f>
        <v/>
      </c>
    </row>
    <row r="426" spans="1:11">
      <c r="A426" s="874"/>
      <c r="B426" s="1060"/>
      <c r="C426" s="768" t="s">
        <v>49</v>
      </c>
      <c r="D426" s="769" t="s">
        <v>158</v>
      </c>
      <c r="E426" s="88" t="str">
        <f>TAS!K49</f>
        <v/>
      </c>
      <c r="F426" s="88" t="str">
        <f>TAS!L49</f>
        <v/>
      </c>
      <c r="G426" s="84"/>
      <c r="H426" s="86" t="s">
        <v>385</v>
      </c>
      <c r="I426" s="87" t="s">
        <v>108</v>
      </c>
      <c r="J426" s="88" t="str">
        <f>E419</f>
        <v/>
      </c>
      <c r="K426" s="88">
        <f>F419</f>
        <v>3.21</v>
      </c>
    </row>
    <row r="427" spans="1:11">
      <c r="A427" s="872" t="s">
        <v>50</v>
      </c>
      <c r="B427" s="1058" t="s">
        <v>159</v>
      </c>
      <c r="C427" s="768" t="s">
        <v>51</v>
      </c>
      <c r="D427" s="769" t="s">
        <v>113</v>
      </c>
      <c r="E427" s="99">
        <f>'Gap data'!$C175*'Gap data'!G12/1000000*(1-'Gap data'!$C99)</f>
        <v>2464.0584832992008</v>
      </c>
      <c r="F427" s="99">
        <f>'Gap data'!$C175*'Gap data'!G13/1000000</f>
        <v>3481.9547852423239</v>
      </c>
      <c r="G427" s="780"/>
      <c r="H427" s="86" t="s">
        <v>386</v>
      </c>
      <c r="I427" s="87" t="s">
        <v>107</v>
      </c>
      <c r="J427" s="88">
        <f>E418</f>
        <v>331.524</v>
      </c>
      <c r="K427" s="88">
        <f>F418</f>
        <v>627.84500000000003</v>
      </c>
    </row>
    <row r="428" spans="1:11">
      <c r="A428" s="873"/>
      <c r="B428" s="1059"/>
      <c r="C428" s="768" t="s">
        <v>115</v>
      </c>
      <c r="D428" s="769" t="s">
        <v>114</v>
      </c>
      <c r="E428" s="99">
        <f>'Gap data'!$C176*'Gap data'!G12/1000000</f>
        <v>5670.0154424000466</v>
      </c>
      <c r="F428" s="99">
        <f>'Gap data'!$C176*'Gap data'!G13/1000000</f>
        <v>5674.974311880158</v>
      </c>
      <c r="G428" s="780"/>
      <c r="H428" s="86" t="s">
        <v>387</v>
      </c>
      <c r="I428" s="87" t="s">
        <v>388</v>
      </c>
      <c r="J428" s="88" t="str">
        <f t="shared" ref="J428:J429" si="91">E434</f>
        <v/>
      </c>
      <c r="K428" s="88" t="str">
        <f t="shared" ref="K428:K429" si="92">F434</f>
        <v/>
      </c>
    </row>
    <row r="429" spans="1:11">
      <c r="A429" s="873"/>
      <c r="B429" s="1059"/>
      <c r="C429" s="768" t="s">
        <v>52</v>
      </c>
      <c r="D429" s="769" t="s">
        <v>116</v>
      </c>
      <c r="E429" s="88" t="str">
        <f>TAS!K52</f>
        <v/>
      </c>
      <c r="F429" s="88" t="str">
        <f>TAS!L52</f>
        <v/>
      </c>
      <c r="G429" s="84"/>
      <c r="H429" s="86" t="s">
        <v>389</v>
      </c>
      <c r="I429" s="87" t="s">
        <v>390</v>
      </c>
      <c r="J429" s="88" t="str">
        <f t="shared" si="91"/>
        <v/>
      </c>
      <c r="K429" s="88" t="str">
        <f t="shared" si="92"/>
        <v/>
      </c>
    </row>
    <row r="430" spans="1:11">
      <c r="A430" s="874"/>
      <c r="B430" s="1060"/>
      <c r="C430" s="768" t="s">
        <v>118</v>
      </c>
      <c r="D430" s="769" t="s">
        <v>117</v>
      </c>
      <c r="E430" s="88" t="str">
        <f>TAS!K53</f>
        <v/>
      </c>
      <c r="F430" s="88" t="str">
        <f>TAS!L53</f>
        <v/>
      </c>
      <c r="G430" s="84"/>
      <c r="H430" s="86" t="s">
        <v>391</v>
      </c>
      <c r="I430" s="87" t="s">
        <v>392</v>
      </c>
      <c r="J430" s="88" t="str">
        <f>E433</f>
        <v/>
      </c>
      <c r="K430" s="88" t="str">
        <f>F433</f>
        <v/>
      </c>
    </row>
    <row r="431" spans="1:11">
      <c r="A431" s="872" t="s">
        <v>53</v>
      </c>
      <c r="B431" s="1058" t="s">
        <v>54</v>
      </c>
      <c r="C431" s="768" t="s">
        <v>55</v>
      </c>
      <c r="D431" s="773" t="s">
        <v>160</v>
      </c>
      <c r="E431" s="88">
        <f>TAS!K54</f>
        <v>5.0420400000000001</v>
      </c>
      <c r="F431" s="88">
        <f>TAS!L54</f>
        <v>28.04</v>
      </c>
      <c r="G431" s="84"/>
      <c r="H431" s="770"/>
      <c r="I431" s="94" t="s">
        <v>405</v>
      </c>
      <c r="J431" s="771"/>
      <c r="K431" s="772"/>
    </row>
    <row r="432" spans="1:11">
      <c r="A432" s="873"/>
      <c r="B432" s="1059"/>
      <c r="C432" s="768" t="s">
        <v>56</v>
      </c>
      <c r="D432" s="769" t="s">
        <v>161</v>
      </c>
      <c r="E432" s="88" t="str">
        <f>TAS!K55</f>
        <v/>
      </c>
      <c r="F432" s="88" t="str">
        <f>TAS!L55</f>
        <v/>
      </c>
      <c r="G432" s="84"/>
      <c r="H432" s="86" t="s">
        <v>393</v>
      </c>
      <c r="I432" s="87" t="s">
        <v>394</v>
      </c>
      <c r="J432" s="99">
        <f>'Gap data'!$B$23*'Gap data'!G12</f>
        <v>149036.38299447036</v>
      </c>
      <c r="K432" s="99">
        <f>'Gap data'!$B$23*'Gap data'!G13</f>
        <v>149166.72690244828</v>
      </c>
    </row>
    <row r="433" spans="1:11">
      <c r="A433" s="873"/>
      <c r="B433" s="1059"/>
      <c r="C433" s="768" t="s">
        <v>57</v>
      </c>
      <c r="D433" s="769" t="s">
        <v>162</v>
      </c>
      <c r="E433" s="88" t="str">
        <f>TAS!K56</f>
        <v/>
      </c>
      <c r="F433" s="88" t="str">
        <f>TAS!L56</f>
        <v/>
      </c>
      <c r="G433" s="84"/>
      <c r="H433" s="86" t="s">
        <v>395</v>
      </c>
      <c r="I433" s="87" t="s">
        <v>396</v>
      </c>
      <c r="J433" s="762">
        <v>0</v>
      </c>
      <c r="K433" s="762">
        <v>0</v>
      </c>
    </row>
    <row r="434" spans="1:11">
      <c r="A434" s="873"/>
      <c r="B434" s="1059"/>
      <c r="C434" s="768" t="s">
        <v>120</v>
      </c>
      <c r="D434" s="769" t="s">
        <v>119</v>
      </c>
      <c r="E434" s="88" t="str">
        <f>TAS!K57</f>
        <v/>
      </c>
      <c r="F434" s="88" t="str">
        <f>TAS!L57</f>
        <v/>
      </c>
      <c r="G434" s="84"/>
      <c r="H434" s="100"/>
      <c r="I434" s="774" t="s">
        <v>408</v>
      </c>
      <c r="J434" s="775"/>
      <c r="K434" s="776"/>
    </row>
    <row r="435" spans="1:11">
      <c r="A435" s="873"/>
      <c r="B435" s="1059"/>
      <c r="C435" s="768" t="s">
        <v>122</v>
      </c>
      <c r="D435" s="769" t="s">
        <v>121</v>
      </c>
      <c r="E435" s="88" t="str">
        <f>TAS!K58</f>
        <v/>
      </c>
      <c r="F435" s="88" t="str">
        <f>TAS!L58</f>
        <v/>
      </c>
      <c r="G435" s="84"/>
      <c r="H435" s="777">
        <v>1</v>
      </c>
      <c r="I435" s="769" t="s">
        <v>397</v>
      </c>
      <c r="J435" s="85">
        <f>SUM(E400:E401,E406:E407)</f>
        <v>0</v>
      </c>
      <c r="K435" s="85">
        <f>SUM(F400:F401,F406:F407)</f>
        <v>0</v>
      </c>
    </row>
    <row r="436" spans="1:11">
      <c r="A436" s="873"/>
      <c r="B436" s="1059"/>
      <c r="C436" s="768" t="s">
        <v>124</v>
      </c>
      <c r="D436" s="769" t="s">
        <v>123</v>
      </c>
      <c r="E436" s="88" t="str">
        <f>TAS!K59</f>
        <v/>
      </c>
      <c r="F436" s="88" t="str">
        <f>TAS!L59</f>
        <v/>
      </c>
      <c r="G436" s="84"/>
      <c r="H436" s="777">
        <v>2</v>
      </c>
      <c r="I436" s="769" t="s">
        <v>398</v>
      </c>
      <c r="J436" s="85">
        <f>SUM(E408:E410,E413)</f>
        <v>1614.06</v>
      </c>
      <c r="K436" s="85">
        <f>SUM(F408:F410,F413)</f>
        <v>1760.83</v>
      </c>
    </row>
    <row r="437" spans="1:11">
      <c r="A437" s="873"/>
      <c r="B437" s="1059"/>
      <c r="C437" s="768" t="s">
        <v>58</v>
      </c>
      <c r="D437" s="769" t="s">
        <v>136</v>
      </c>
      <c r="E437" s="88" t="str">
        <f>TAS!K60</f>
        <v/>
      </c>
      <c r="F437" s="88" t="str">
        <f>TAS!L60</f>
        <v/>
      </c>
      <c r="G437" s="84"/>
      <c r="H437" s="777">
        <v>3</v>
      </c>
      <c r="I437" s="769" t="s">
        <v>323</v>
      </c>
      <c r="J437" s="85">
        <f>SUM(E437:E440)</f>
        <v>15</v>
      </c>
      <c r="K437" s="85">
        <f>SUM(F437:F440)</f>
        <v>1.1671000000000001E-2</v>
      </c>
    </row>
    <row r="438" spans="1:11">
      <c r="A438" s="873"/>
      <c r="B438" s="1059"/>
      <c r="C438" s="768" t="s">
        <v>59</v>
      </c>
      <c r="D438" s="769" t="s">
        <v>125</v>
      </c>
      <c r="E438" s="88" t="str">
        <f>TAS!K61</f>
        <v/>
      </c>
      <c r="F438" s="88" t="str">
        <f>TAS!L61</f>
        <v/>
      </c>
      <c r="G438" s="84"/>
      <c r="H438" s="777">
        <v>4</v>
      </c>
      <c r="I438" s="769" t="s">
        <v>159</v>
      </c>
      <c r="J438" s="85">
        <f t="shared" ref="J438" si="93">SUM(E427:E430)</f>
        <v>8134.0739256992474</v>
      </c>
      <c r="K438" s="85">
        <f>SUM(F427:F430)</f>
        <v>9156.9290971224818</v>
      </c>
    </row>
    <row r="439" spans="1:11">
      <c r="A439" s="873"/>
      <c r="B439" s="1059"/>
      <c r="C439" s="768" t="s">
        <v>60</v>
      </c>
      <c r="D439" s="773" t="s">
        <v>163</v>
      </c>
      <c r="E439" s="88">
        <f>TAS!K62</f>
        <v>15</v>
      </c>
      <c r="F439" s="88">
        <f>TAS!L62</f>
        <v>1.1671000000000001E-2</v>
      </c>
      <c r="G439" s="84"/>
      <c r="H439" s="777">
        <v>5</v>
      </c>
      <c r="I439" s="187" t="s">
        <v>399</v>
      </c>
      <c r="J439" s="85" t="str">
        <f>E441</f>
        <v/>
      </c>
      <c r="K439" s="85">
        <f>F441</f>
        <v>60.683999999999997</v>
      </c>
    </row>
    <row r="440" spans="1:11">
      <c r="A440" s="874"/>
      <c r="B440" s="1060"/>
      <c r="C440" s="768" t="s">
        <v>61</v>
      </c>
      <c r="D440" s="769" t="s">
        <v>126</v>
      </c>
      <c r="E440" s="88" t="str">
        <f>TAS!K63</f>
        <v/>
      </c>
      <c r="F440" s="88" t="str">
        <f>TAS!L63</f>
        <v/>
      </c>
      <c r="G440" s="84"/>
      <c r="H440" s="89">
        <v>6</v>
      </c>
      <c r="I440" s="105" t="s">
        <v>462</v>
      </c>
      <c r="J440" s="763" t="str">
        <f t="shared" ref="J440" si="94">E442</f>
        <v/>
      </c>
      <c r="K440" s="763" t="str">
        <f t="shared" ref="K440" si="95">F442</f>
        <v/>
      </c>
    </row>
    <row r="441" spans="1:11">
      <c r="A441" s="872" t="s">
        <v>62</v>
      </c>
      <c r="B441" s="1058" t="s">
        <v>164</v>
      </c>
      <c r="C441" s="768" t="s">
        <v>63</v>
      </c>
      <c r="D441" s="769" t="s">
        <v>165</v>
      </c>
      <c r="E441" s="88" t="str">
        <f>TAS!K64</f>
        <v/>
      </c>
      <c r="F441" s="88">
        <f>TAS!L64</f>
        <v>60.683999999999997</v>
      </c>
      <c r="H441" s="89">
        <v>7</v>
      </c>
      <c r="I441" s="105" t="s">
        <v>463</v>
      </c>
      <c r="J441" s="763">
        <f>SUM(E443,E446)</f>
        <v>0</v>
      </c>
      <c r="K441" s="763">
        <f>SUM(F443,F446)</f>
        <v>0</v>
      </c>
    </row>
    <row r="442" spans="1:11">
      <c r="A442" s="873"/>
      <c r="B442" s="1059"/>
      <c r="C442" s="768" t="s">
        <v>64</v>
      </c>
      <c r="D442" s="769" t="s">
        <v>127</v>
      </c>
      <c r="E442" s="88" t="str">
        <f>TAS!K65</f>
        <v/>
      </c>
      <c r="F442" s="88" t="str">
        <f>TAS!L65</f>
        <v/>
      </c>
      <c r="G442" s="760" t="str">
        <f>G422</f>
        <v>Tas</v>
      </c>
      <c r="H442" s="777">
        <v>8</v>
      </c>
      <c r="I442" s="769" t="s">
        <v>133</v>
      </c>
      <c r="J442" s="85">
        <f>E455</f>
        <v>5025</v>
      </c>
      <c r="K442" s="85">
        <f>F455</f>
        <v>5025</v>
      </c>
    </row>
    <row r="443" spans="1:11">
      <c r="A443" s="873"/>
      <c r="B443" s="1059"/>
      <c r="C443" s="768" t="s">
        <v>65</v>
      </c>
      <c r="D443" s="769" t="s">
        <v>166</v>
      </c>
      <c r="E443" s="88" t="str">
        <f>TAS!K66</f>
        <v/>
      </c>
      <c r="F443" s="88" t="str">
        <f>TAS!L66</f>
        <v/>
      </c>
      <c r="G443" s="69"/>
      <c r="H443" s="778"/>
      <c r="I443" s="779"/>
      <c r="J443" s="778"/>
      <c r="K443" s="778"/>
    </row>
    <row r="444" spans="1:11">
      <c r="A444" s="873"/>
      <c r="B444" s="1059"/>
      <c r="C444" s="768" t="s">
        <v>66</v>
      </c>
      <c r="D444" s="769" t="s">
        <v>173</v>
      </c>
      <c r="E444" s="88" t="str">
        <f>TAS!K67</f>
        <v/>
      </c>
      <c r="F444" s="88" t="str">
        <f>TAS!L67</f>
        <v/>
      </c>
      <c r="G444" s="69"/>
      <c r="H444" s="778"/>
      <c r="I444" s="779"/>
      <c r="J444" s="778"/>
      <c r="K444" s="778"/>
    </row>
    <row r="445" spans="1:11">
      <c r="A445" s="873"/>
      <c r="B445" s="1059"/>
      <c r="C445" s="768" t="s">
        <v>67</v>
      </c>
      <c r="D445" s="769" t="s">
        <v>174</v>
      </c>
      <c r="E445" s="88" t="str">
        <f>TAS!K68</f>
        <v/>
      </c>
      <c r="F445" s="88">
        <f>TAS!L68</f>
        <v>10</v>
      </c>
      <c r="G445" s="69"/>
      <c r="H445" s="778"/>
      <c r="I445" s="779"/>
      <c r="J445" s="778"/>
      <c r="K445" s="778"/>
    </row>
    <row r="446" spans="1:11">
      <c r="A446" s="873"/>
      <c r="B446" s="1059"/>
      <c r="C446" s="768" t="s">
        <v>68</v>
      </c>
      <c r="D446" s="769" t="s">
        <v>175</v>
      </c>
      <c r="E446" s="88" t="str">
        <f>TAS!K69</f>
        <v/>
      </c>
      <c r="F446" s="88" t="str">
        <f>TAS!L69</f>
        <v/>
      </c>
      <c r="G446" s="69"/>
      <c r="H446" s="778"/>
      <c r="I446" s="779"/>
      <c r="J446" s="778"/>
      <c r="K446" s="778"/>
    </row>
    <row r="447" spans="1:11">
      <c r="A447" s="873"/>
      <c r="B447" s="1059"/>
      <c r="C447" s="768" t="s">
        <v>128</v>
      </c>
      <c r="D447" s="769" t="s">
        <v>167</v>
      </c>
      <c r="E447" s="99">
        <f>IF(ISNUMBER(TAS!K70),TAS!K70)+'Gap data'!$G$35</f>
        <v>15216.854269260399</v>
      </c>
      <c r="F447" s="99">
        <f>IF(ISNUMBER(TAS!L70),TAS!L70)+'Gap data'!$G$35</f>
        <v>15216.854269260399</v>
      </c>
      <c r="G447" s="781"/>
      <c r="H447" s="778"/>
      <c r="I447" s="779"/>
      <c r="J447" s="778"/>
      <c r="K447" s="778"/>
    </row>
    <row r="448" spans="1:11">
      <c r="A448" s="873"/>
      <c r="B448" s="1059"/>
      <c r="C448" s="768" t="s">
        <v>69</v>
      </c>
      <c r="D448" s="769" t="s">
        <v>129</v>
      </c>
      <c r="E448" s="108">
        <f>'Gap data'!$C$196*'Gap data'!G12/1000000</f>
        <v>3957.1318868222356</v>
      </c>
      <c r="F448" s="108">
        <f>'Gap data'!$C$196*'Gap data'!G13/1000000</f>
        <v>3960.5927064164121</v>
      </c>
      <c r="G448" s="782"/>
      <c r="H448" s="778"/>
      <c r="I448" s="779"/>
      <c r="J448" s="778"/>
      <c r="K448" s="778"/>
    </row>
    <row r="449" spans="1:14">
      <c r="A449" s="874"/>
      <c r="B449" s="1060"/>
      <c r="C449" s="768" t="s">
        <v>70</v>
      </c>
      <c r="D449" s="769" t="s">
        <v>168</v>
      </c>
      <c r="E449" s="88" t="str">
        <f>TAS!K72</f>
        <v/>
      </c>
      <c r="F449" s="88" t="str">
        <f>TAS!L72</f>
        <v/>
      </c>
      <c r="G449" s="69"/>
      <c r="H449" s="778"/>
      <c r="I449" s="779"/>
      <c r="J449" s="778"/>
      <c r="K449" s="778"/>
    </row>
    <row r="450" spans="1:14">
      <c r="A450" s="872" t="s">
        <v>71</v>
      </c>
      <c r="B450" s="1058" t="s">
        <v>169</v>
      </c>
      <c r="C450" s="768" t="s">
        <v>72</v>
      </c>
      <c r="D450" s="769" t="s">
        <v>170</v>
      </c>
      <c r="E450" s="88">
        <f>TAS!K73</f>
        <v>20.149999999999999</v>
      </c>
      <c r="F450" s="88">
        <f>TAS!L73</f>
        <v>3.6</v>
      </c>
      <c r="G450" s="69"/>
      <c r="H450" s="778"/>
      <c r="I450" s="779"/>
      <c r="J450" s="778"/>
      <c r="K450" s="778"/>
    </row>
    <row r="451" spans="1:14">
      <c r="A451" s="873"/>
      <c r="B451" s="1059"/>
      <c r="C451" s="768" t="s">
        <v>73</v>
      </c>
      <c r="D451" s="769" t="s">
        <v>130</v>
      </c>
      <c r="E451" s="88">
        <f>TAS!K74</f>
        <v>14.7545</v>
      </c>
      <c r="F451" s="88">
        <f>TAS!L74</f>
        <v>7.6479999999999997</v>
      </c>
      <c r="G451" s="69"/>
      <c r="H451" s="778"/>
      <c r="I451" s="779"/>
      <c r="J451" s="778"/>
      <c r="K451" s="778"/>
    </row>
    <row r="452" spans="1:14">
      <c r="A452" s="874"/>
      <c r="B452" s="1060"/>
      <c r="C452" s="768" t="s">
        <v>74</v>
      </c>
      <c r="D452" s="769" t="s">
        <v>131</v>
      </c>
      <c r="E452" s="88" t="str">
        <f>TAS!K75</f>
        <v/>
      </c>
      <c r="F452" s="88" t="str">
        <f>TAS!L75</f>
        <v/>
      </c>
      <c r="G452" s="69"/>
      <c r="H452" s="778"/>
      <c r="I452" s="779"/>
      <c r="J452" s="778"/>
      <c r="K452" s="778"/>
    </row>
    <row r="453" spans="1:14">
      <c r="A453" s="872" t="s">
        <v>75</v>
      </c>
      <c r="B453" s="1058" t="s">
        <v>76</v>
      </c>
      <c r="C453" s="768" t="s">
        <v>77</v>
      </c>
      <c r="D453" s="773" t="s">
        <v>171</v>
      </c>
      <c r="E453" s="88">
        <f>TAS!K76</f>
        <v>6.5759999999999996</v>
      </c>
      <c r="F453" s="88">
        <f>TAS!L76</f>
        <v>16.301100000000002</v>
      </c>
      <c r="G453" s="69"/>
      <c r="H453" s="778"/>
      <c r="I453" s="779"/>
      <c r="J453" s="778"/>
      <c r="K453" s="778"/>
    </row>
    <row r="454" spans="1:14">
      <c r="A454" s="873"/>
      <c r="B454" s="1059"/>
      <c r="C454" s="768" t="s">
        <v>78</v>
      </c>
      <c r="D454" s="769" t="s">
        <v>132</v>
      </c>
      <c r="E454" s="88">
        <f>TAS!K77</f>
        <v>6.2</v>
      </c>
      <c r="F454" s="88">
        <f>TAS!L77</f>
        <v>1.52</v>
      </c>
      <c r="G454" s="69"/>
      <c r="H454" s="778"/>
      <c r="I454" s="779"/>
      <c r="J454" s="778"/>
      <c r="K454" s="778"/>
    </row>
    <row r="455" spans="1:14">
      <c r="A455" s="873"/>
      <c r="B455" s="1059"/>
      <c r="C455" s="768" t="s">
        <v>134</v>
      </c>
      <c r="D455" s="769" t="s">
        <v>133</v>
      </c>
      <c r="E455" s="99">
        <f>'Gap data'!$G$42</f>
        <v>5025</v>
      </c>
      <c r="F455" s="99">
        <f>'Gap data'!$G$42</f>
        <v>5025</v>
      </c>
      <c r="G455" s="69"/>
      <c r="H455" s="778"/>
      <c r="I455" s="779"/>
      <c r="J455" s="778"/>
      <c r="K455" s="778"/>
    </row>
    <row r="456" spans="1:14">
      <c r="A456" s="874"/>
      <c r="B456" s="1060"/>
      <c r="C456" s="768" t="s">
        <v>172</v>
      </c>
      <c r="D456" s="769" t="s">
        <v>135</v>
      </c>
      <c r="E456" s="88" t="str">
        <f>TAS!K79</f>
        <v/>
      </c>
      <c r="F456" s="88" t="str">
        <f>TAS!L79</f>
        <v/>
      </c>
      <c r="G456" s="69"/>
      <c r="H456" s="778"/>
      <c r="I456" s="779"/>
      <c r="J456" s="778"/>
      <c r="K456" s="778"/>
    </row>
    <row r="457" spans="1:14">
      <c r="G457" s="69"/>
      <c r="H457" s="778"/>
      <c r="I457" s="779"/>
      <c r="J457" s="778"/>
      <c r="K457" s="778"/>
    </row>
    <row r="458" spans="1:14" s="625" customFormat="1" ht="15.75">
      <c r="A458" s="625" t="s">
        <v>603</v>
      </c>
      <c r="D458" s="758"/>
      <c r="H458" s="625" t="str">
        <f>A458</f>
        <v>Adjusted Vic data</v>
      </c>
      <c r="I458" s="758"/>
    </row>
    <row r="459" spans="1:14">
      <c r="G459" s="109"/>
    </row>
    <row r="460" spans="1:14">
      <c r="A460" s="872" t="s">
        <v>3</v>
      </c>
      <c r="B460" s="1058" t="s">
        <v>137</v>
      </c>
      <c r="C460" s="768" t="s">
        <v>4</v>
      </c>
      <c r="D460" s="769" t="s">
        <v>79</v>
      </c>
      <c r="E460" s="449"/>
      <c r="F460" s="449"/>
      <c r="G460" s="84"/>
      <c r="H460" s="86" t="s">
        <v>324</v>
      </c>
      <c r="I460" s="87" t="s">
        <v>325</v>
      </c>
      <c r="J460" s="88">
        <f>E525</f>
        <v>5557.4410000000144</v>
      </c>
      <c r="K460" s="88">
        <f>F525</f>
        <v>6215.2310000000143</v>
      </c>
      <c r="M460" s="767">
        <f>IFERROR(Vic!K8-E460,0)</f>
        <v>0</v>
      </c>
      <c r="N460" s="767">
        <f>IFERROR(Vic!L8-F460,0)</f>
        <v>0</v>
      </c>
    </row>
    <row r="461" spans="1:14">
      <c r="A461" s="873"/>
      <c r="B461" s="1059"/>
      <c r="C461" s="768" t="s">
        <v>138</v>
      </c>
      <c r="D461" s="769" t="s">
        <v>139</v>
      </c>
      <c r="E461" s="449"/>
      <c r="F461" s="449"/>
      <c r="G461" s="84"/>
      <c r="H461" s="86" t="s">
        <v>326</v>
      </c>
      <c r="I461" s="87" t="s">
        <v>327</v>
      </c>
      <c r="J461" s="88">
        <f>E527</f>
        <v>214.43000000000029</v>
      </c>
      <c r="K461" s="88">
        <f>F527</f>
        <v>204.23900000000009</v>
      </c>
      <c r="M461" s="767">
        <f>IFERROR(Vic!K9-E461,0)</f>
        <v>0</v>
      </c>
      <c r="N461" s="767">
        <f>IFERROR(Vic!L9-F461,0)</f>
        <v>0</v>
      </c>
    </row>
    <row r="462" spans="1:14">
      <c r="A462" s="874"/>
      <c r="B462" s="1060"/>
      <c r="C462" s="768" t="s">
        <v>81</v>
      </c>
      <c r="D462" s="769" t="s">
        <v>80</v>
      </c>
      <c r="E462" s="275">
        <f>IFERROR(IF(Vic!$C$3="Yes",Vic!K10,Vic!K10*(1-'Gap data'!$C57)),"")</f>
        <v>0.12</v>
      </c>
      <c r="F462" s="275">
        <f>IFERROR(IF(Vic!$C$3="Yes",Vic!L10,Vic!L10*(1-'Gap data'!$C57)),"")</f>
        <v>7.0000000000000007E-2</v>
      </c>
      <c r="G462" s="84"/>
      <c r="H462" s="86" t="s">
        <v>328</v>
      </c>
      <c r="I462" s="87" t="s">
        <v>130</v>
      </c>
      <c r="J462" s="88">
        <f>E526</f>
        <v>275.27899999999926</v>
      </c>
      <c r="K462" s="88">
        <f>F526</f>
        <v>263.83199999999999</v>
      </c>
      <c r="M462" s="767">
        <f>IFERROR(Vic!K10-E462,0)</f>
        <v>0</v>
      </c>
      <c r="N462" s="767">
        <f>IFERROR(Vic!L10-F462,0)</f>
        <v>0</v>
      </c>
    </row>
    <row r="463" spans="1:14">
      <c r="A463" s="90" t="s">
        <v>5</v>
      </c>
      <c r="B463" s="187" t="s">
        <v>6</v>
      </c>
      <c r="C463" s="768" t="s">
        <v>7</v>
      </c>
      <c r="D463" s="769" t="s">
        <v>82</v>
      </c>
      <c r="E463" s="275">
        <f>IFERROR(IF(Vic!$C$3="Yes",Vic!K11,Vic!K11*(1-'Gap data'!$C58)),"")</f>
        <v>6761.0579999999945</v>
      </c>
      <c r="F463" s="275">
        <f>IFERROR(IF(Vic!$C$3="Yes",Vic!L11,Vic!L11*(1-'Gap data'!$C58)),"")</f>
        <v>11694.930999999999</v>
      </c>
      <c r="G463" s="84"/>
      <c r="H463" s="86" t="s">
        <v>329</v>
      </c>
      <c r="I463" s="87" t="s">
        <v>330</v>
      </c>
      <c r="J463" s="88">
        <f>E496</f>
        <v>519.37</v>
      </c>
      <c r="K463" s="88">
        <f>F496</f>
        <v>841.78099999999995</v>
      </c>
      <c r="M463" s="767">
        <f>IFERROR(Vic!K11-E463,0)</f>
        <v>0</v>
      </c>
      <c r="N463" s="767">
        <f>IFERROR(Vic!L11-F463,0)</f>
        <v>0</v>
      </c>
    </row>
    <row r="464" spans="1:14">
      <c r="A464" s="90" t="s">
        <v>8</v>
      </c>
      <c r="B464" s="187" t="s">
        <v>140</v>
      </c>
      <c r="C464" s="768" t="s">
        <v>9</v>
      </c>
      <c r="D464" s="769" t="s">
        <v>83</v>
      </c>
      <c r="E464" s="275">
        <f>IFERROR(IF(Vic!$C$3="Yes",Vic!K12,Vic!K12*(1-'Gap data'!$C59)),"")</f>
        <v>4139.3720000000012</v>
      </c>
      <c r="F464" s="275">
        <f>IFERROR(IF(Vic!$C$3="Yes",Vic!L12,Vic!L12*(1-'Gap data'!$C59)),"")</f>
        <v>3707.9180000000015</v>
      </c>
      <c r="G464" s="84"/>
      <c r="H464" s="86" t="s">
        <v>331</v>
      </c>
      <c r="I464" s="87" t="s">
        <v>332</v>
      </c>
      <c r="J464" s="88">
        <f>E498</f>
        <v>6.2799999999999994</v>
      </c>
      <c r="K464" s="88">
        <f>F498</f>
        <v>5.8800000000000008</v>
      </c>
      <c r="M464" s="767">
        <f>IFERROR(Vic!K12-E464,0)</f>
        <v>0</v>
      </c>
      <c r="N464" s="767">
        <f>IFERROR(Vic!L12-F464,0)</f>
        <v>0</v>
      </c>
    </row>
    <row r="465" spans="1:14">
      <c r="A465" s="872" t="s">
        <v>10</v>
      </c>
      <c r="B465" s="1058" t="s">
        <v>11</v>
      </c>
      <c r="C465" s="768" t="s">
        <v>12</v>
      </c>
      <c r="D465" s="769" t="s">
        <v>84</v>
      </c>
      <c r="E465" s="275">
        <f>IFERROR(IF(Vic!$C$3="Yes",Vic!K13,Vic!K13*(1-'Gap data'!$C60)),"")</f>
        <v>0</v>
      </c>
      <c r="F465" s="275">
        <f>IFERROR(IF(Vic!$C$3="Yes",Vic!L13,Vic!L13*(1-'Gap data'!$C60)),"")</f>
        <v>13.79</v>
      </c>
      <c r="G465" s="84"/>
      <c r="H465" s="86" t="s">
        <v>333</v>
      </c>
      <c r="I465" s="87" t="s">
        <v>334</v>
      </c>
      <c r="J465" s="88">
        <f>E495</f>
        <v>307.52000000000015</v>
      </c>
      <c r="K465" s="88">
        <f>F495</f>
        <v>1017.22</v>
      </c>
      <c r="M465" s="767">
        <f>IFERROR(Vic!K13-E465,0)</f>
        <v>0</v>
      </c>
      <c r="N465" s="767">
        <f>IFERROR(Vic!L13-F465,0)</f>
        <v>0</v>
      </c>
    </row>
    <row r="466" spans="1:14">
      <c r="A466" s="873"/>
      <c r="B466" s="1059"/>
      <c r="C466" s="768" t="s">
        <v>13</v>
      </c>
      <c r="D466" s="769" t="s">
        <v>85</v>
      </c>
      <c r="E466" s="275">
        <f>IFERROR(IF(Vic!$C$3="Yes",Vic!K14,Vic!K14*(1-'Gap data'!$C61)),"")</f>
        <v>1819.2599999999998</v>
      </c>
      <c r="F466" s="275">
        <f>IFERROR(IF(Vic!$C$3="Yes",Vic!L14,Vic!L14*(1-'Gap data'!$C61)),"")</f>
        <v>8870.8809999999976</v>
      </c>
      <c r="G466" s="84"/>
      <c r="H466" s="86" t="s">
        <v>335</v>
      </c>
      <c r="I466" s="87" t="s">
        <v>336</v>
      </c>
      <c r="J466" s="88">
        <f>E461</f>
        <v>0</v>
      </c>
      <c r="K466" s="88">
        <f>F461</f>
        <v>0</v>
      </c>
      <c r="M466" s="767">
        <f>IFERROR(Vic!K14-E466,0)</f>
        <v>0</v>
      </c>
      <c r="N466" s="767">
        <f>IFERROR(Vic!L14-F466,0)</f>
        <v>0</v>
      </c>
    </row>
    <row r="467" spans="1:14">
      <c r="A467" s="873"/>
      <c r="B467" s="1059"/>
      <c r="C467" s="768" t="s">
        <v>14</v>
      </c>
      <c r="D467" s="769" t="s">
        <v>86</v>
      </c>
      <c r="E467" s="275">
        <f>IFERROR(IF(Vic!$C$3="Yes",Vic!K15,Vic!K15*(1-'Gap data'!$C62)),"")</f>
        <v>2.5909999999999997</v>
      </c>
      <c r="F467" s="275">
        <f>IFERROR(IF(Vic!$C$3="Yes",Vic!L15,Vic!L15*(1-'Gap data'!$C62)),"")</f>
        <v>36.882000000000005</v>
      </c>
      <c r="G467" s="84"/>
      <c r="H467" s="86" t="s">
        <v>337</v>
      </c>
      <c r="I467" s="87" t="s">
        <v>322</v>
      </c>
      <c r="J467" s="88">
        <f t="shared" ref="J467:J468" si="96">E499</f>
        <v>10929.845000000003</v>
      </c>
      <c r="K467" s="88">
        <f t="shared" ref="K467:K468" si="97">F499</f>
        <v>12759.48000000001</v>
      </c>
      <c r="M467" s="767">
        <f>IFERROR(Vic!K15-E467,0)</f>
        <v>0</v>
      </c>
      <c r="N467" s="767">
        <f>IFERROR(Vic!L15-F467,0)</f>
        <v>0</v>
      </c>
    </row>
    <row r="468" spans="1:14" ht="13.5" customHeight="1">
      <c r="A468" s="873"/>
      <c r="B468" s="1059"/>
      <c r="C468" s="768" t="s">
        <v>15</v>
      </c>
      <c r="D468" s="769" t="s">
        <v>87</v>
      </c>
      <c r="E468" s="275">
        <f>IFERROR(IF(Vic!$C$3="Yes",Vic!K16,Vic!K16*(1-'Gap data'!$C63)),"")</f>
        <v>14.89</v>
      </c>
      <c r="F468" s="275">
        <f>IFERROR(IF(Vic!$C$3="Yes",Vic!L16,Vic!L16*(1-'Gap data'!$C63)),"")</f>
        <v>8.9600000000000009</v>
      </c>
      <c r="G468" s="84"/>
      <c r="H468" s="86" t="s">
        <v>338</v>
      </c>
      <c r="I468" s="87" t="s">
        <v>339</v>
      </c>
      <c r="J468" s="88">
        <f t="shared" si="96"/>
        <v>25231.578999999983</v>
      </c>
      <c r="K468" s="88">
        <f t="shared" si="97"/>
        <v>30109.676000000061</v>
      </c>
      <c r="M468" s="767">
        <f>IFERROR(Vic!K16-E468,0)</f>
        <v>0</v>
      </c>
      <c r="N468" s="767">
        <f>IFERROR(Vic!L16-F468,0)</f>
        <v>0</v>
      </c>
    </row>
    <row r="469" spans="1:14">
      <c r="A469" s="873"/>
      <c r="B469" s="1059"/>
      <c r="C469" s="768" t="s">
        <v>16</v>
      </c>
      <c r="D469" s="769" t="s">
        <v>88</v>
      </c>
      <c r="E469" s="275">
        <f>IFERROR(IF(Vic!$C$3="Yes",Vic!K17,Vic!K17*(1-'Gap data'!$C64)),"")</f>
        <v>421.49</v>
      </c>
      <c r="F469" s="275">
        <f>IFERROR(IF(Vic!$C$3="Yes",Vic!L17,Vic!L17*(1-'Gap data'!$C64)),"")</f>
        <v>500.88999999999987</v>
      </c>
      <c r="G469" s="84"/>
      <c r="H469" s="86" t="s">
        <v>340</v>
      </c>
      <c r="I469" s="87" t="s">
        <v>341</v>
      </c>
      <c r="J469" s="88">
        <f>E506</f>
        <v>210.64</v>
      </c>
      <c r="K469" s="88">
        <f>F506</f>
        <v>17399.349999999999</v>
      </c>
      <c r="M469" s="767">
        <f>IFERROR(Vic!K17-E469,0)</f>
        <v>0</v>
      </c>
      <c r="N469" s="767">
        <f>IFERROR(Vic!L17-F469,0)</f>
        <v>0</v>
      </c>
    </row>
    <row r="470" spans="1:14">
      <c r="A470" s="873"/>
      <c r="B470" s="1059"/>
      <c r="C470" s="768" t="s">
        <v>17</v>
      </c>
      <c r="D470" s="769" t="s">
        <v>89</v>
      </c>
      <c r="E470" s="275">
        <f>IFERROR(IF(Vic!$C$3="Yes",Vic!K18,Vic!K18*(1-'Gap data'!$C65)),"")</f>
        <v>15.2</v>
      </c>
      <c r="F470" s="275">
        <f>IFERROR(IF(Vic!$C$3="Yes",Vic!L18,Vic!L18*(1-'Gap data'!$C65)),"")</f>
        <v>15.469999999999999</v>
      </c>
      <c r="G470" s="84"/>
      <c r="H470" s="86" t="s">
        <v>342</v>
      </c>
      <c r="I470" s="87" t="s">
        <v>343</v>
      </c>
      <c r="J470" s="88">
        <f>E501</f>
        <v>31.2</v>
      </c>
      <c r="K470" s="88">
        <f>F501</f>
        <v>36</v>
      </c>
      <c r="M470" s="767">
        <f>IFERROR(Vic!K18-E470,0)</f>
        <v>0</v>
      </c>
      <c r="N470" s="767">
        <f>IFERROR(Vic!L18-F470,0)</f>
        <v>0</v>
      </c>
    </row>
    <row r="471" spans="1:14">
      <c r="A471" s="873"/>
      <c r="B471" s="1059"/>
      <c r="C471" s="768" t="s">
        <v>18</v>
      </c>
      <c r="D471" s="769" t="s">
        <v>90</v>
      </c>
      <c r="E471" s="275">
        <f>IFERROR(IF(Vic!$C$3="Yes",Vic!K19,Vic!K19*(1-'Gap data'!$C66)),"")</f>
        <v>0</v>
      </c>
      <c r="F471" s="275">
        <f>IFERROR(IF(Vic!$C$3="Yes",Vic!L19,Vic!L19*(1-'Gap data'!$C66)),"")</f>
        <v>21.86</v>
      </c>
      <c r="G471" s="84"/>
      <c r="H471" s="86" t="s">
        <v>344</v>
      </c>
      <c r="I471" s="87" t="s">
        <v>345</v>
      </c>
      <c r="J471" s="88">
        <f t="shared" ref="J471:J472" si="98">E490</f>
        <v>6377.5960000000032</v>
      </c>
      <c r="K471" s="88">
        <f t="shared" ref="K471:K472" si="99">F490</f>
        <v>7345.5739999999969</v>
      </c>
      <c r="M471" s="767">
        <f>IFERROR(Vic!K19-E471,0)</f>
        <v>0</v>
      </c>
      <c r="N471" s="767">
        <f>IFERROR(Vic!L19-F471,0)</f>
        <v>0</v>
      </c>
    </row>
    <row r="472" spans="1:14">
      <c r="A472" s="873"/>
      <c r="B472" s="1059"/>
      <c r="C472" s="768" t="s">
        <v>19</v>
      </c>
      <c r="D472" s="769" t="s">
        <v>141</v>
      </c>
      <c r="E472" s="275">
        <f>IFERROR(IF(Vic!$C$3="Yes",Vic!K20,Vic!K20*(1-'Gap data'!$C67)),"")</f>
        <v>0</v>
      </c>
      <c r="F472" s="275">
        <f>IFERROR(IF(Vic!$C$3="Yes",Vic!L20,Vic!L20*(1-'Gap data'!$C67)),"")</f>
        <v>0</v>
      </c>
      <c r="G472" s="84"/>
      <c r="H472" s="86" t="s">
        <v>346</v>
      </c>
      <c r="I472" s="87" t="s">
        <v>347</v>
      </c>
      <c r="J472" s="88">
        <f t="shared" si="98"/>
        <v>611.02</v>
      </c>
      <c r="K472" s="88">
        <f t="shared" si="99"/>
        <v>798.27200000000016</v>
      </c>
      <c r="M472" s="767">
        <f>IFERROR(Vic!K20-E472,0)</f>
        <v>0</v>
      </c>
      <c r="N472" s="767">
        <f>IFERROR(Vic!L20-F472,0)</f>
        <v>0</v>
      </c>
    </row>
    <row r="473" spans="1:14">
      <c r="A473" s="873"/>
      <c r="B473" s="1059"/>
      <c r="C473" s="768" t="s">
        <v>142</v>
      </c>
      <c r="D473" s="769" t="s">
        <v>143</v>
      </c>
      <c r="E473" s="275">
        <f>IFERROR(IF(Vic!$C$3="Yes",Vic!K21,Vic!K21*(1-'Gap data'!$C68)),"")</f>
        <v>0</v>
      </c>
      <c r="F473" s="275">
        <f>IFERROR(IF(Vic!$C$3="Yes",Vic!L21,Vic!L21*(1-'Gap data'!$C68)),"")</f>
        <v>0</v>
      </c>
      <c r="G473" s="84"/>
      <c r="H473" s="86" t="s">
        <v>348</v>
      </c>
      <c r="I473" s="87" t="s">
        <v>349</v>
      </c>
      <c r="J473" s="88">
        <f>E528</f>
        <v>31.976000000000003</v>
      </c>
      <c r="K473" s="88">
        <f>F528</f>
        <v>34.897999999999989</v>
      </c>
      <c r="M473" s="767">
        <f>IFERROR(Vic!K21-E473,0)</f>
        <v>0</v>
      </c>
      <c r="N473" s="767">
        <f>IFERROR(Vic!L21-F473,0)</f>
        <v>0</v>
      </c>
    </row>
    <row r="474" spans="1:14">
      <c r="A474" s="873"/>
      <c r="B474" s="1059"/>
      <c r="C474" s="768" t="s">
        <v>20</v>
      </c>
      <c r="D474" s="769" t="s">
        <v>91</v>
      </c>
      <c r="E474" s="275">
        <f>IFERROR(IF(Vic!$C$3="Yes",Vic!K22,Vic!K22*(1-'Gap data'!$C69)),"")</f>
        <v>61.3</v>
      </c>
      <c r="F474" s="275">
        <f>IFERROR(IF(Vic!$C$3="Yes",Vic!L22,Vic!L22*(1-'Gap data'!$C69)),"")</f>
        <v>38.510000000000005</v>
      </c>
      <c r="G474" s="84"/>
      <c r="H474" s="86" t="s">
        <v>350</v>
      </c>
      <c r="I474" s="87" t="s">
        <v>351</v>
      </c>
      <c r="J474" s="88">
        <f t="shared" ref="J474" si="100">SUM(E531,E486:E487,E489)</f>
        <v>3.2749999999999999</v>
      </c>
      <c r="K474" s="88">
        <f t="shared" ref="K474" si="101">SUM(F531,F486:F487,F489)</f>
        <v>11.175000000000001</v>
      </c>
      <c r="M474" s="767">
        <f>IFERROR(Vic!K22-E474,0)</f>
        <v>0</v>
      </c>
      <c r="N474" s="767">
        <f>IFERROR(Vic!L22-F474,0)</f>
        <v>0</v>
      </c>
    </row>
    <row r="475" spans="1:14">
      <c r="A475" s="873"/>
      <c r="B475" s="1059"/>
      <c r="C475" s="768" t="s">
        <v>21</v>
      </c>
      <c r="D475" s="769" t="s">
        <v>144</v>
      </c>
      <c r="E475" s="275">
        <f>IFERROR(IF(Vic!$C$3="Yes",Vic!K23,Vic!K23*(1-'Gap data'!$C70)),"")</f>
        <v>0</v>
      </c>
      <c r="F475" s="275">
        <f>IFERROR(IF(Vic!$C$3="Yes",Vic!L23,Vic!L23*(1-'Gap data'!$C70)),"")</f>
        <v>0</v>
      </c>
      <c r="G475" s="84"/>
      <c r="H475" s="86" t="s">
        <v>352</v>
      </c>
      <c r="I475" s="87" t="s">
        <v>353</v>
      </c>
      <c r="J475" s="88">
        <f>E529</f>
        <v>210.24</v>
      </c>
      <c r="K475" s="88">
        <f>F529</f>
        <v>180.49799999999996</v>
      </c>
      <c r="M475" s="767">
        <f>IFERROR(Vic!K23-E475,0)</f>
        <v>0</v>
      </c>
      <c r="N475" s="767">
        <f>IFERROR(Vic!L23-F475,0)</f>
        <v>0</v>
      </c>
    </row>
    <row r="476" spans="1:14">
      <c r="A476" s="873"/>
      <c r="B476" s="1059"/>
      <c r="C476" s="768" t="s">
        <v>22</v>
      </c>
      <c r="D476" s="769" t="s">
        <v>92</v>
      </c>
      <c r="E476" s="275">
        <f>IFERROR(IF(Vic!$C$3="Yes",Vic!K24,Vic!K24*(1-'Gap data'!$C71)),"")</f>
        <v>38.76</v>
      </c>
      <c r="F476" s="275">
        <f>IFERROR(IF(Vic!$C$3="Yes",Vic!L24,Vic!L24*(1-'Gap data'!$C71)),"")</f>
        <v>16.2</v>
      </c>
      <c r="G476" s="84"/>
      <c r="H476" s="86" t="s">
        <v>354</v>
      </c>
      <c r="I476" s="87" t="s">
        <v>355</v>
      </c>
      <c r="J476" s="88">
        <f>E460</f>
        <v>0</v>
      </c>
      <c r="K476" s="88">
        <f>F460</f>
        <v>0</v>
      </c>
      <c r="M476" s="767">
        <f>IFERROR(Vic!K24-E476,0)</f>
        <v>0</v>
      </c>
      <c r="N476" s="767">
        <f>IFERROR(Vic!L24-F476,0)</f>
        <v>0</v>
      </c>
    </row>
    <row r="477" spans="1:14">
      <c r="A477" s="873"/>
      <c r="B477" s="1059"/>
      <c r="C477" s="768" t="s">
        <v>23</v>
      </c>
      <c r="D477" s="769" t="s">
        <v>93</v>
      </c>
      <c r="E477" s="275">
        <f>IFERROR(IF(Vic!$C$3="Yes",Vic!K25,Vic!K25*(1-'Gap data'!$C72)),"")</f>
        <v>3557.8520000000012</v>
      </c>
      <c r="F477" s="275">
        <f>IFERROR(IF(Vic!$C$3="Yes",Vic!L25,Vic!L25*(1-'Gap data'!$C72)),"")</f>
        <v>3663</v>
      </c>
      <c r="G477" s="84"/>
      <c r="H477" s="86" t="s">
        <v>356</v>
      </c>
      <c r="I477" s="87" t="s">
        <v>357</v>
      </c>
      <c r="J477" s="88">
        <f t="shared" ref="J477" si="102">SUM(E522,E519:E520,E524)</f>
        <v>228391.42190700138</v>
      </c>
      <c r="K477" s="88">
        <f t="shared" ref="K477" si="103">SUM(F522,F519:F520,F524)</f>
        <v>230660.55290700137</v>
      </c>
      <c r="M477" s="767">
        <f>IFERROR(Vic!K25-E477,0)</f>
        <v>0</v>
      </c>
      <c r="N477" s="767">
        <f>IFERROR(Vic!L25-F477,0)</f>
        <v>0</v>
      </c>
    </row>
    <row r="478" spans="1:14">
      <c r="A478" s="873"/>
      <c r="B478" s="1059"/>
      <c r="C478" s="768" t="s">
        <v>24</v>
      </c>
      <c r="D478" s="769" t="s">
        <v>94</v>
      </c>
      <c r="E478" s="275">
        <f>IFERROR(IF(Vic!$C$3="Yes",Vic!K26,Vic!K26*(1-'Gap data'!$C73)),"")</f>
        <v>157.47999999999999</v>
      </c>
      <c r="F478" s="275">
        <f>IFERROR(IF(Vic!$C$3="Yes",Vic!L26,Vic!L26*(1-'Gap data'!$C73)),"")</f>
        <v>147.29</v>
      </c>
      <c r="G478" s="760" t="s">
        <v>432</v>
      </c>
      <c r="H478" s="770"/>
      <c r="I478" s="94" t="s">
        <v>407</v>
      </c>
      <c r="J478" s="771"/>
      <c r="K478" s="772"/>
      <c r="M478" s="767">
        <f>IFERROR(Vic!K26-E478,0)</f>
        <v>0</v>
      </c>
      <c r="N478" s="767">
        <f>IFERROR(Vic!L26-F478,0)</f>
        <v>0</v>
      </c>
    </row>
    <row r="479" spans="1:14">
      <c r="A479" s="873"/>
      <c r="B479" s="1059"/>
      <c r="C479" s="768" t="s">
        <v>25</v>
      </c>
      <c r="D479" s="769" t="s">
        <v>145</v>
      </c>
      <c r="E479" s="275">
        <f>IFERROR(IF(Vic!$C$3="Yes",Vic!K27,Vic!K27*(1-'Gap data'!$C74)),"")</f>
        <v>0</v>
      </c>
      <c r="F479" s="275">
        <f>IFERROR(IF(Vic!$C$3="Yes",Vic!L27,Vic!L27*(1-'Gap data'!$C74)),"")</f>
        <v>0</v>
      </c>
      <c r="G479" s="84"/>
      <c r="H479" s="86" t="s">
        <v>358</v>
      </c>
      <c r="I479" s="87" t="s">
        <v>84</v>
      </c>
      <c r="J479" s="88">
        <f>E465</f>
        <v>0</v>
      </c>
      <c r="K479" s="88">
        <f>F465</f>
        <v>13.79</v>
      </c>
      <c r="M479" s="767">
        <f>IFERROR(Vic!K27-E479,0)</f>
        <v>0</v>
      </c>
      <c r="N479" s="767">
        <f>IFERROR(Vic!L27-F479,0)</f>
        <v>0</v>
      </c>
    </row>
    <row r="480" spans="1:14">
      <c r="A480" s="873"/>
      <c r="B480" s="1059"/>
      <c r="C480" s="768" t="s">
        <v>146</v>
      </c>
      <c r="D480" s="769" t="s">
        <v>147</v>
      </c>
      <c r="E480" s="449"/>
      <c r="F480" s="449"/>
      <c r="G480" s="84"/>
      <c r="H480" s="86" t="s">
        <v>359</v>
      </c>
      <c r="I480" s="87" t="s">
        <v>90</v>
      </c>
      <c r="J480" s="88">
        <f>E471</f>
        <v>0</v>
      </c>
      <c r="K480" s="88">
        <f>F471</f>
        <v>21.86</v>
      </c>
      <c r="M480" s="767">
        <f>IFERROR(Vic!K28-E480,0)</f>
        <v>0</v>
      </c>
      <c r="N480" s="767">
        <f>IFERROR(Vic!L28-F480,0)</f>
        <v>0</v>
      </c>
    </row>
    <row r="481" spans="1:14">
      <c r="A481" s="873"/>
      <c r="B481" s="1059"/>
      <c r="C481" s="768" t="s">
        <v>148</v>
      </c>
      <c r="D481" s="769" t="s">
        <v>149</v>
      </c>
      <c r="E481" s="449"/>
      <c r="F481" s="449"/>
      <c r="G481" s="84"/>
      <c r="H481" s="86" t="s">
        <v>360</v>
      </c>
      <c r="I481" s="87" t="s">
        <v>361</v>
      </c>
      <c r="J481" s="88">
        <f>E469</f>
        <v>421.49</v>
      </c>
      <c r="K481" s="88">
        <f>F469</f>
        <v>500.88999999999987</v>
      </c>
      <c r="M481" s="767">
        <f>IFERROR(Vic!K29-E481,0)</f>
        <v>0</v>
      </c>
      <c r="N481" s="767">
        <f>IFERROR(Vic!L29-F481,0)</f>
        <v>0</v>
      </c>
    </row>
    <row r="482" spans="1:14">
      <c r="A482" s="873"/>
      <c r="B482" s="1059"/>
      <c r="C482" s="768" t="s">
        <v>26</v>
      </c>
      <c r="D482" s="769" t="s">
        <v>150</v>
      </c>
      <c r="E482" s="275">
        <f>IFERROR(IF(Vic!$C$3="Yes",Vic!K30,Vic!K30*(1-'Gap data'!$C77)),"")</f>
        <v>1E-3</v>
      </c>
      <c r="F482" s="275">
        <f>IFERROR(IF(Vic!$C$3="Yes",Vic!L30,Vic!L30*(1-'Gap data'!$C77)),"")</f>
        <v>0.16999999999999998</v>
      </c>
      <c r="G482" s="84"/>
      <c r="H482" s="86" t="s">
        <v>362</v>
      </c>
      <c r="I482" s="87" t="s">
        <v>91</v>
      </c>
      <c r="J482" s="88">
        <f>E474</f>
        <v>61.3</v>
      </c>
      <c r="K482" s="88">
        <f>F474</f>
        <v>38.510000000000005</v>
      </c>
      <c r="M482" s="767">
        <f>IFERROR(Vic!K30-E482,0)</f>
        <v>0</v>
      </c>
      <c r="N482" s="767">
        <f>IFERROR(Vic!L30-F482,0)</f>
        <v>0</v>
      </c>
    </row>
    <row r="483" spans="1:14">
      <c r="A483" s="873"/>
      <c r="B483" s="1059"/>
      <c r="C483" s="768" t="s">
        <v>27</v>
      </c>
      <c r="D483" s="769" t="s">
        <v>95</v>
      </c>
      <c r="E483" s="275">
        <f>IFERROR(IF(Vic!$C$3="Yes",Vic!K31,Vic!K31*(1-'Gap data'!$C78)),"")</f>
        <v>2979.9050000000002</v>
      </c>
      <c r="F483" s="275">
        <f>IFERROR(IF(Vic!$C$3="Yes",Vic!L31,Vic!L31*(1-'Gap data'!$C78)),"")</f>
        <v>2718.5009999999997</v>
      </c>
      <c r="G483" s="84"/>
      <c r="H483" s="86" t="s">
        <v>363</v>
      </c>
      <c r="I483" s="87" t="s">
        <v>94</v>
      </c>
      <c r="J483" s="88">
        <f>E478</f>
        <v>157.47999999999999</v>
      </c>
      <c r="K483" s="88">
        <f>F478</f>
        <v>147.29</v>
      </c>
      <c r="M483" s="767">
        <f>IFERROR(Vic!K31-E483,0)</f>
        <v>0</v>
      </c>
      <c r="N483" s="767">
        <f>IFERROR(Vic!L31-F483,0)</f>
        <v>0</v>
      </c>
    </row>
    <row r="484" spans="1:14">
      <c r="A484" s="873"/>
      <c r="B484" s="1059"/>
      <c r="C484" s="768" t="s">
        <v>28</v>
      </c>
      <c r="D484" s="769" t="s">
        <v>96</v>
      </c>
      <c r="E484" s="275">
        <f>IFERROR(IF(Vic!$C$3="Yes",Vic!K32,Vic!K32*(1-'Gap data'!$C79)),"")</f>
        <v>0</v>
      </c>
      <c r="F484" s="275">
        <f>IFERROR(IF(Vic!$C$3="Yes",Vic!L32,Vic!L32*(1-'Gap data'!$C79)),"")</f>
        <v>2.2400000000000002</v>
      </c>
      <c r="G484" s="84"/>
      <c r="H484" s="86" t="s">
        <v>364</v>
      </c>
      <c r="I484" s="87" t="s">
        <v>87</v>
      </c>
      <c r="J484" s="88">
        <f>E468</f>
        <v>14.89</v>
      </c>
      <c r="K484" s="88">
        <f>F468</f>
        <v>8.9600000000000009</v>
      </c>
      <c r="M484" s="767">
        <f>IFERROR(Vic!K32-E484,0)</f>
        <v>0</v>
      </c>
      <c r="N484" s="767">
        <f>IFERROR(Vic!L32-F484,0)</f>
        <v>0</v>
      </c>
    </row>
    <row r="485" spans="1:14">
      <c r="A485" s="873"/>
      <c r="B485" s="1059"/>
      <c r="C485" s="768" t="s">
        <v>29</v>
      </c>
      <c r="D485" s="769" t="s">
        <v>97</v>
      </c>
      <c r="E485" s="275">
        <f>IFERROR(IF(Vic!$C$3="Yes",Vic!K33,Vic!K33*(1-'Gap data'!$C80)),"")</f>
        <v>0</v>
      </c>
      <c r="F485" s="275">
        <f>IFERROR(IF(Vic!$C$3="Yes",Vic!L33,Vic!L33*(1-'Gap data'!$C80)),"")</f>
        <v>0</v>
      </c>
      <c r="G485" s="84"/>
      <c r="H485" s="86" t="s">
        <v>365</v>
      </c>
      <c r="I485" s="87" t="s">
        <v>145</v>
      </c>
      <c r="J485" s="88">
        <f>E479</f>
        <v>0</v>
      </c>
      <c r="K485" s="88">
        <f>F479</f>
        <v>0</v>
      </c>
      <c r="M485" s="767">
        <f>IFERROR(Vic!K33-E485,0)</f>
        <v>0</v>
      </c>
      <c r="N485" s="767">
        <f>IFERROR(Vic!L33-F485,0)</f>
        <v>0</v>
      </c>
    </row>
    <row r="486" spans="1:14">
      <c r="A486" s="873"/>
      <c r="B486" s="1059"/>
      <c r="C486" s="768" t="s">
        <v>99</v>
      </c>
      <c r="D486" s="769" t="s">
        <v>98</v>
      </c>
      <c r="E486" s="275">
        <f>IFERROR(IF(Vic!$C$3="Yes",Vic!K34,Vic!K34*(1-'Gap data'!$C81)),"")</f>
        <v>0</v>
      </c>
      <c r="F486" s="275">
        <f>IFERROR(IF(Vic!$C$3="Yes",Vic!L34,Vic!L34*(1-'Gap data'!$C81)),"")</f>
        <v>7.0000000000000007E-2</v>
      </c>
      <c r="G486" s="84"/>
      <c r="H486" s="86" t="s">
        <v>366</v>
      </c>
      <c r="I486" s="87" t="s">
        <v>89</v>
      </c>
      <c r="J486" s="88">
        <f>E470</f>
        <v>15.2</v>
      </c>
      <c r="K486" s="88">
        <f>F470</f>
        <v>15.469999999999999</v>
      </c>
      <c r="M486" s="767">
        <f>IFERROR(Vic!K34-E486,0)</f>
        <v>0</v>
      </c>
      <c r="N486" s="767">
        <f>IFERROR(Vic!L34-F486,0)</f>
        <v>0</v>
      </c>
    </row>
    <row r="487" spans="1:14">
      <c r="A487" s="873"/>
      <c r="B487" s="1059"/>
      <c r="C487" s="768" t="s">
        <v>101</v>
      </c>
      <c r="D487" s="769" t="s">
        <v>100</v>
      </c>
      <c r="E487" s="275">
        <f>IFERROR(IF(Vic!$C$3="Yes",Vic!K35,Vic!K35*(1-'Gap data'!$C82)),"")</f>
        <v>0</v>
      </c>
      <c r="F487" s="275">
        <f>IFERROR(IF(Vic!$C$3="Yes",Vic!L35,Vic!L35*(1-'Gap data'!$C82)),"")</f>
        <v>7.0000000000000007E-2</v>
      </c>
      <c r="G487" s="84"/>
      <c r="H487" s="86" t="s">
        <v>367</v>
      </c>
      <c r="I487" s="87" t="s">
        <v>141</v>
      </c>
      <c r="J487" s="88">
        <f>E472</f>
        <v>0</v>
      </c>
      <c r="K487" s="88">
        <f>F472</f>
        <v>0</v>
      </c>
      <c r="M487" s="767">
        <f>IFERROR(Vic!K35-E487,0)</f>
        <v>0</v>
      </c>
      <c r="N487" s="767">
        <f>IFERROR(Vic!L35-F487,0)</f>
        <v>0</v>
      </c>
    </row>
    <row r="488" spans="1:14">
      <c r="A488" s="874"/>
      <c r="B488" s="1060"/>
      <c r="C488" s="768" t="s">
        <v>30</v>
      </c>
      <c r="D488" s="769" t="s">
        <v>151</v>
      </c>
      <c r="E488" s="275">
        <f>IFERROR(IF(Vic!$C$3="Yes",Vic!K36,Vic!K36*(1-'Gap data'!$C83)),"")</f>
        <v>0</v>
      </c>
      <c r="F488" s="275">
        <f>IFERROR(IF(Vic!$C$3="Yes",Vic!L36,Vic!L36*(1-'Gap data'!$C83)),"")</f>
        <v>0</v>
      </c>
      <c r="G488" s="84"/>
      <c r="H488" s="86" t="s">
        <v>368</v>
      </c>
      <c r="I488" s="87" t="s">
        <v>147</v>
      </c>
      <c r="J488" s="88">
        <f>E480</f>
        <v>0</v>
      </c>
      <c r="K488" s="88">
        <f>F480</f>
        <v>0</v>
      </c>
      <c r="M488" s="767">
        <f>IFERROR(Vic!K36-E488,0)</f>
        <v>0</v>
      </c>
      <c r="N488" s="767">
        <f>IFERROR(Vic!L36-F488,0)</f>
        <v>0</v>
      </c>
    </row>
    <row r="489" spans="1:14">
      <c r="A489" s="90" t="s">
        <v>31</v>
      </c>
      <c r="B489" s="761" t="s">
        <v>32</v>
      </c>
      <c r="C489" s="768" t="s">
        <v>33</v>
      </c>
      <c r="D489" s="769" t="s">
        <v>102</v>
      </c>
      <c r="E489" s="275">
        <f>IFERROR(IF(Vic!$C$3="Yes",Vic!K37,Vic!K37*(1-'Gap data'!$C84)),"")</f>
        <v>1.1549999999999998</v>
      </c>
      <c r="F489" s="275">
        <f>IFERROR(IF(Vic!$C$3="Yes",Vic!L37,Vic!L37*(1-'Gap data'!$C84)),"")</f>
        <v>1.635</v>
      </c>
      <c r="G489" s="84"/>
      <c r="H489" s="86" t="s">
        <v>369</v>
      </c>
      <c r="I489" s="87" t="s">
        <v>86</v>
      </c>
      <c r="J489" s="88">
        <f>E467</f>
        <v>2.5909999999999997</v>
      </c>
      <c r="K489" s="88">
        <f>F467</f>
        <v>36.882000000000005</v>
      </c>
      <c r="M489" s="767">
        <f>IFERROR(Vic!K37-E489,0)</f>
        <v>0</v>
      </c>
      <c r="N489" s="767">
        <f>IFERROR(Vic!L37-F489,0)</f>
        <v>0</v>
      </c>
    </row>
    <row r="490" spans="1:14">
      <c r="A490" s="872" t="s">
        <v>34</v>
      </c>
      <c r="B490" s="1058" t="s">
        <v>152</v>
      </c>
      <c r="C490" s="768" t="s">
        <v>35</v>
      </c>
      <c r="D490" s="769" t="s">
        <v>103</v>
      </c>
      <c r="E490" s="275">
        <f>IFERROR(IF(Vic!$C$3="Yes",Vic!K38,Vic!K38*(1-'Gap data'!$C85)),"")</f>
        <v>6377.5960000000032</v>
      </c>
      <c r="F490" s="275">
        <f>IFERROR(IF(Vic!$C$3="Yes",Vic!L38,Vic!L38*(1-'Gap data'!$C85)),"")</f>
        <v>7345.5739999999969</v>
      </c>
      <c r="G490" s="84"/>
      <c r="H490" s="86" t="s">
        <v>370</v>
      </c>
      <c r="I490" s="87" t="s">
        <v>143</v>
      </c>
      <c r="J490" s="88">
        <f>E473</f>
        <v>0</v>
      </c>
      <c r="K490" s="88">
        <f>F473</f>
        <v>0</v>
      </c>
      <c r="M490" s="767">
        <f>IFERROR(Vic!K38-E490,0)</f>
        <v>0</v>
      </c>
      <c r="N490" s="767">
        <f>IFERROR(Vic!L38-F490,0)</f>
        <v>0</v>
      </c>
    </row>
    <row r="491" spans="1:14">
      <c r="A491" s="874"/>
      <c r="B491" s="1060"/>
      <c r="C491" s="768" t="s">
        <v>105</v>
      </c>
      <c r="D491" s="769" t="s">
        <v>104</v>
      </c>
      <c r="E491" s="275">
        <f>IFERROR(IF(Vic!$C$3="Yes",Vic!K39,Vic!K39*(1-'Gap data'!$C86)),"")</f>
        <v>611.02</v>
      </c>
      <c r="F491" s="275">
        <f>IFERROR(IF(Vic!$C$3="Yes",Vic!L39,Vic!L39*(1-'Gap data'!$C86)),"")</f>
        <v>798.27200000000016</v>
      </c>
      <c r="G491" s="84"/>
      <c r="H491" s="86" t="s">
        <v>371</v>
      </c>
      <c r="I491" s="87" t="s">
        <v>93</v>
      </c>
      <c r="J491" s="88">
        <f>E477</f>
        <v>3557.8520000000012</v>
      </c>
      <c r="K491" s="88">
        <f>F477</f>
        <v>3663</v>
      </c>
      <c r="M491" s="767">
        <f>IFERROR(Vic!K39-E491,0)</f>
        <v>0</v>
      </c>
      <c r="N491" s="767">
        <f>IFERROR(Vic!L39-F491,0)</f>
        <v>0</v>
      </c>
    </row>
    <row r="492" spans="1:14">
      <c r="A492" s="872" t="s">
        <v>37</v>
      </c>
      <c r="B492" s="1058" t="s">
        <v>153</v>
      </c>
      <c r="C492" s="768" t="s">
        <v>38</v>
      </c>
      <c r="D492" s="769" t="s">
        <v>106</v>
      </c>
      <c r="E492" s="275">
        <f>IFERROR(IF(Vic!$C$3="Yes",Vic!K40,Vic!K40*(1-'Gap data'!$C87)),"")</f>
        <v>223.35199999999998</v>
      </c>
      <c r="F492" s="275">
        <f>IFERROR(IF(Vic!$C$3="Yes",Vic!L40,Vic!L40*(1-'Gap data'!$C87)),"")</f>
        <v>446.18999999999994</v>
      </c>
      <c r="G492" s="84"/>
      <c r="H492" s="86" t="s">
        <v>372</v>
      </c>
      <c r="I492" s="87" t="s">
        <v>85</v>
      </c>
      <c r="J492" s="88">
        <f>E466</f>
        <v>1819.2599999999998</v>
      </c>
      <c r="K492" s="88">
        <f>F466</f>
        <v>8870.8809999999976</v>
      </c>
      <c r="M492" s="767">
        <f>IFERROR(Vic!K40-E492,0)</f>
        <v>0</v>
      </c>
      <c r="N492" s="767">
        <f>IFERROR(Vic!L40-F492,0)</f>
        <v>0</v>
      </c>
    </row>
    <row r="493" spans="1:14">
      <c r="A493" s="873"/>
      <c r="B493" s="1059"/>
      <c r="C493" s="768" t="s">
        <v>39</v>
      </c>
      <c r="D493" s="769" t="s">
        <v>107</v>
      </c>
      <c r="E493" s="275">
        <f>IFERROR(IF(Vic!$C$3="Yes",Vic!K41,Vic!K41*(1-'Gap data'!$C88)),"")</f>
        <v>865.9150000000003</v>
      </c>
      <c r="F493" s="275">
        <f>IFERROR(IF(Vic!$C$3="Yes",Vic!L41,Vic!L41*(1-'Gap data'!$C88)),"")</f>
        <v>575.69000000000005</v>
      </c>
      <c r="G493" s="84"/>
      <c r="H493" s="86" t="s">
        <v>373</v>
      </c>
      <c r="I493" s="87" t="s">
        <v>374</v>
      </c>
      <c r="J493" s="88">
        <f t="shared" ref="J493:J495" si="104">E462</f>
        <v>0.12</v>
      </c>
      <c r="K493" s="88">
        <f t="shared" ref="K493:K495" si="105">F462</f>
        <v>7.0000000000000007E-2</v>
      </c>
      <c r="M493" s="767">
        <f>IFERROR(Vic!K41-E493,0)</f>
        <v>0</v>
      </c>
      <c r="N493" s="767">
        <f>IFERROR(Vic!L41-F493,0)</f>
        <v>0</v>
      </c>
    </row>
    <row r="494" spans="1:14">
      <c r="A494" s="873"/>
      <c r="B494" s="1059"/>
      <c r="C494" s="768" t="s">
        <v>40</v>
      </c>
      <c r="D494" s="769" t="s">
        <v>108</v>
      </c>
      <c r="E494" s="275">
        <f>IFERROR(IF(Vic!$C$3="Yes",Vic!K42,Vic!K42*(1-'Gap data'!$C89)),"")</f>
        <v>13.520000000000001</v>
      </c>
      <c r="F494" s="275">
        <f>IFERROR(IF(Vic!$C$3="Yes",Vic!L42,Vic!L42*(1-'Gap data'!$C89)),"")</f>
        <v>35.520000000000003</v>
      </c>
      <c r="G494" s="84"/>
      <c r="H494" s="86" t="s">
        <v>375</v>
      </c>
      <c r="I494" s="87" t="s">
        <v>82</v>
      </c>
      <c r="J494" s="88">
        <f t="shared" si="104"/>
        <v>6761.0579999999945</v>
      </c>
      <c r="K494" s="88">
        <f t="shared" si="105"/>
        <v>11694.930999999999</v>
      </c>
      <c r="M494" s="767">
        <f>IFERROR(Vic!K42-E494,0)</f>
        <v>0</v>
      </c>
      <c r="N494" s="767">
        <f>IFERROR(Vic!L42-F494,0)</f>
        <v>0</v>
      </c>
    </row>
    <row r="495" spans="1:14">
      <c r="A495" s="874"/>
      <c r="B495" s="1060"/>
      <c r="C495" s="768" t="s">
        <v>41</v>
      </c>
      <c r="D495" s="769" t="s">
        <v>109</v>
      </c>
      <c r="E495" s="275">
        <f>IFERROR(IF(Vic!$C$3="Yes",Vic!K43,Vic!K43*(1-'Gap data'!$C90)),"")</f>
        <v>307.52000000000015</v>
      </c>
      <c r="F495" s="275">
        <f>IFERROR(IF(Vic!$C$3="Yes",Vic!L43,Vic!L43*(1-'Gap data'!$C90)),"")</f>
        <v>1017.22</v>
      </c>
      <c r="G495" s="84"/>
      <c r="H495" s="86" t="s">
        <v>376</v>
      </c>
      <c r="I495" s="87" t="s">
        <v>83</v>
      </c>
      <c r="J495" s="88">
        <f t="shared" si="104"/>
        <v>4139.3720000000012</v>
      </c>
      <c r="K495" s="88">
        <f t="shared" si="105"/>
        <v>3707.9180000000015</v>
      </c>
      <c r="M495" s="767">
        <f>IFERROR(Vic!K43-E495,0)</f>
        <v>0</v>
      </c>
      <c r="N495" s="767">
        <f>IFERROR(Vic!L43-F495,0)</f>
        <v>0</v>
      </c>
    </row>
    <row r="496" spans="1:14">
      <c r="A496" s="872" t="s">
        <v>42</v>
      </c>
      <c r="B496" s="1058" t="s">
        <v>154</v>
      </c>
      <c r="C496" s="768" t="s">
        <v>43</v>
      </c>
      <c r="D496" s="769" t="s">
        <v>110</v>
      </c>
      <c r="E496" s="275">
        <f>IFERROR(IF(Vic!$C$3="Yes",Vic!K44,Vic!K44*(1-'Gap data'!$C91)),"")</f>
        <v>519.37</v>
      </c>
      <c r="F496" s="275">
        <f>IFERROR(IF(Vic!$C$3="Yes",Vic!L44,Vic!L44*(1-'Gap data'!$C91)),"")</f>
        <v>841.78099999999995</v>
      </c>
      <c r="G496" s="84"/>
      <c r="H496" s="86" t="s">
        <v>377</v>
      </c>
      <c r="I496" s="87" t="s">
        <v>378</v>
      </c>
      <c r="J496" s="88">
        <f>E523</f>
        <v>41513.298999999963</v>
      </c>
      <c r="K496" s="88">
        <f>F523</f>
        <v>44188.370999999963</v>
      </c>
      <c r="M496" s="767">
        <f>IFERROR(Vic!K44-E496,0)</f>
        <v>0</v>
      </c>
      <c r="N496" s="767">
        <f>IFERROR(Vic!L44-F496,0)</f>
        <v>0</v>
      </c>
    </row>
    <row r="497" spans="1:14">
      <c r="A497" s="873"/>
      <c r="B497" s="1059"/>
      <c r="C497" s="768" t="s">
        <v>44</v>
      </c>
      <c r="D497" s="769" t="s">
        <v>111</v>
      </c>
      <c r="E497" s="275">
        <f>IFERROR(IF(Vic!$C$3="Yes",Vic!K45,Vic!K45*(1-'Gap data'!$C92)),"")</f>
        <v>0</v>
      </c>
      <c r="F497" s="275">
        <f>IFERROR(IF(Vic!$C$3="Yes",Vic!L45,Vic!L45*(1-'Gap data'!$C92)),"")</f>
        <v>0.81</v>
      </c>
      <c r="G497" s="760" t="str">
        <f>G478</f>
        <v>Vic</v>
      </c>
      <c r="H497" s="86" t="s">
        <v>379</v>
      </c>
      <c r="I497" s="87" t="s">
        <v>176</v>
      </c>
      <c r="J497" s="88">
        <f>E497</f>
        <v>0</v>
      </c>
      <c r="K497" s="88">
        <f>F497</f>
        <v>0.81</v>
      </c>
      <c r="M497" s="767">
        <f>IFERROR(Vic!K45-E497,0)</f>
        <v>0</v>
      </c>
      <c r="N497" s="767">
        <f>IFERROR(Vic!L45-F497,0)</f>
        <v>0</v>
      </c>
    </row>
    <row r="498" spans="1:14">
      <c r="A498" s="874"/>
      <c r="B498" s="1060"/>
      <c r="C498" s="768" t="s">
        <v>45</v>
      </c>
      <c r="D498" s="769" t="s">
        <v>155</v>
      </c>
      <c r="E498" s="275">
        <f>IFERROR(IF(Vic!$C$3="Yes",Vic!K46,Vic!K46*(1-'Gap data'!$C93)),"")</f>
        <v>6.2799999999999994</v>
      </c>
      <c r="F498" s="275">
        <f>IFERROR(IF(Vic!$C$3="Yes",Vic!L46,Vic!L46*(1-'Gap data'!$C93)),"")</f>
        <v>5.8800000000000008</v>
      </c>
      <c r="G498" s="84"/>
      <c r="H498" s="86" t="s">
        <v>380</v>
      </c>
      <c r="I498" s="87" t="s">
        <v>381</v>
      </c>
      <c r="J498" s="88">
        <f>E511</f>
        <v>0</v>
      </c>
      <c r="K498" s="88">
        <f>F511</f>
        <v>0</v>
      </c>
      <c r="M498" s="767">
        <f>IFERROR(Vic!K46-E498,0)</f>
        <v>0</v>
      </c>
      <c r="N498" s="767">
        <f>IFERROR(Vic!L46-F498,0)</f>
        <v>0</v>
      </c>
    </row>
    <row r="499" spans="1:14">
      <c r="A499" s="872" t="s">
        <v>46</v>
      </c>
      <c r="B499" s="1058" t="s">
        <v>156</v>
      </c>
      <c r="C499" s="768" t="s">
        <v>47</v>
      </c>
      <c r="D499" s="769" t="s">
        <v>112</v>
      </c>
      <c r="E499" s="275">
        <f>IFERROR(IF(Vic!$C$3="Yes",Vic!K47,Vic!K47*(1-'Gap data'!$C94)),"")</f>
        <v>10929.845000000003</v>
      </c>
      <c r="F499" s="275">
        <f>IFERROR(IF(Vic!$C$3="Yes",Vic!L47,Vic!L47*(1-'Gap data'!$C94)),"")</f>
        <v>12759.48000000001</v>
      </c>
      <c r="G499" s="84"/>
      <c r="H499" s="86" t="s">
        <v>382</v>
      </c>
      <c r="I499" s="87" t="s">
        <v>383</v>
      </c>
      <c r="J499" s="88">
        <f>E507</f>
        <v>5.54</v>
      </c>
      <c r="K499" s="88">
        <f>F507</f>
        <v>3.01</v>
      </c>
      <c r="M499" s="767">
        <f>IFERROR(Vic!K47-E499,0)</f>
        <v>0</v>
      </c>
      <c r="N499" s="767">
        <f>IFERROR(Vic!L47-F499,0)</f>
        <v>0</v>
      </c>
    </row>
    <row r="500" spans="1:14">
      <c r="A500" s="873"/>
      <c r="B500" s="1059"/>
      <c r="C500" s="768" t="s">
        <v>48</v>
      </c>
      <c r="D500" s="769" t="s">
        <v>157</v>
      </c>
      <c r="E500" s="275">
        <f>IFERROR(IF(Vic!$C$3="Yes",Vic!K48,Vic!K48*(1-'Gap data'!$C95)),"")</f>
        <v>25231.578999999983</v>
      </c>
      <c r="F500" s="275">
        <f>IFERROR(IF(Vic!$C$3="Yes",Vic!L48,Vic!L48*(1-'Gap data'!$C95)),"")</f>
        <v>30109.676000000061</v>
      </c>
      <c r="G500" s="84"/>
      <c r="H500" s="86" t="s">
        <v>384</v>
      </c>
      <c r="I500" s="87" t="s">
        <v>106</v>
      </c>
      <c r="J500" s="88">
        <f>E492</f>
        <v>223.35199999999998</v>
      </c>
      <c r="K500" s="88">
        <f>F492</f>
        <v>446.18999999999994</v>
      </c>
      <c r="M500" s="767">
        <f>IFERROR(Vic!K48-E500,0)</f>
        <v>0</v>
      </c>
      <c r="N500" s="767">
        <f>IFERROR(Vic!L48-F500,0)</f>
        <v>0</v>
      </c>
    </row>
    <row r="501" spans="1:14">
      <c r="A501" s="874"/>
      <c r="B501" s="1060"/>
      <c r="C501" s="768" t="s">
        <v>49</v>
      </c>
      <c r="D501" s="769" t="s">
        <v>158</v>
      </c>
      <c r="E501" s="275">
        <f>IFERROR(IF(Vic!$C$3="Yes",Vic!K49,Vic!K49*(1-'Gap data'!$C96)),"")</f>
        <v>31.2</v>
      </c>
      <c r="F501" s="275">
        <f>IFERROR(IF(Vic!$C$3="Yes",Vic!L49,Vic!L49*(1-'Gap data'!$C96)),"")</f>
        <v>36</v>
      </c>
      <c r="G501" s="84"/>
      <c r="H501" s="86" t="s">
        <v>385</v>
      </c>
      <c r="I501" s="87" t="s">
        <v>108</v>
      </c>
      <c r="J501" s="88">
        <f>E494</f>
        <v>13.520000000000001</v>
      </c>
      <c r="K501" s="88">
        <f>F494</f>
        <v>35.520000000000003</v>
      </c>
      <c r="M501" s="767">
        <f>IFERROR(Vic!K49-E501,0)</f>
        <v>0</v>
      </c>
      <c r="N501" s="767">
        <f>IFERROR(Vic!L49-F501,0)</f>
        <v>0</v>
      </c>
    </row>
    <row r="502" spans="1:14">
      <c r="A502" s="872" t="s">
        <v>50</v>
      </c>
      <c r="B502" s="1058" t="s">
        <v>159</v>
      </c>
      <c r="C502" s="768" t="s">
        <v>51</v>
      </c>
      <c r="D502" s="769" t="s">
        <v>113</v>
      </c>
      <c r="E502" s="275">
        <f>IFERROR(IF(Vic!$C$3="Yes",Vic!K50,Vic!K50*(1-'Gap data'!$C97)),"")</f>
        <v>17040.440000000013</v>
      </c>
      <c r="F502" s="275">
        <f>IFERROR(IF(Vic!$C$3="Yes",Vic!L50,Vic!L50*(1-'Gap data'!$C97)),"")</f>
        <v>18107.495999999985</v>
      </c>
      <c r="G502" s="84"/>
      <c r="H502" s="86" t="s">
        <v>386</v>
      </c>
      <c r="I502" s="87" t="s">
        <v>107</v>
      </c>
      <c r="J502" s="88">
        <f>E493</f>
        <v>865.9150000000003</v>
      </c>
      <c r="K502" s="88">
        <f>F493</f>
        <v>575.69000000000005</v>
      </c>
      <c r="M502" s="767">
        <f>IFERROR(Vic!K50-E502,0)</f>
        <v>0</v>
      </c>
      <c r="N502" s="767">
        <f>IFERROR(Vic!L50-F502,0)</f>
        <v>0</v>
      </c>
    </row>
    <row r="503" spans="1:14">
      <c r="A503" s="873"/>
      <c r="B503" s="1059"/>
      <c r="C503" s="768" t="s">
        <v>115</v>
      </c>
      <c r="D503" s="769" t="s">
        <v>114</v>
      </c>
      <c r="E503" s="275">
        <f>IFERROR(IF(Vic!$C$3="Yes",Vic!K51,Vic!K51*(1-'Gap data'!$C98)),"")</f>
        <v>55914.716999999866</v>
      </c>
      <c r="F503" s="275">
        <f>IFERROR(IF(Vic!$C$3="Yes",Vic!L51,Vic!L51*(1-'Gap data'!$C98)),"")</f>
        <v>56916.530999999617</v>
      </c>
      <c r="G503" s="84"/>
      <c r="H503" s="86" t="s">
        <v>387</v>
      </c>
      <c r="I503" s="87" t="s">
        <v>388</v>
      </c>
      <c r="J503" s="88">
        <f t="shared" ref="J503:J504" si="106">E509</f>
        <v>0</v>
      </c>
      <c r="K503" s="88">
        <f t="shared" ref="K503:K504" si="107">F509</f>
        <v>0</v>
      </c>
      <c r="M503" s="767">
        <f>IFERROR(Vic!K51-E503,0)</f>
        <v>0</v>
      </c>
      <c r="N503" s="767">
        <f>IFERROR(Vic!L51-F503,0)</f>
        <v>0</v>
      </c>
    </row>
    <row r="504" spans="1:14">
      <c r="A504" s="873"/>
      <c r="B504" s="1059"/>
      <c r="C504" s="768" t="s">
        <v>52</v>
      </c>
      <c r="D504" s="769" t="s">
        <v>116</v>
      </c>
      <c r="E504" s="275">
        <f>IFERROR(IF(Vic!$C$3="Yes",Vic!K52,Vic!K52*(1-'Gap data'!$C99)),"")</f>
        <v>599.49</v>
      </c>
      <c r="F504" s="275">
        <f>IFERROR(IF(Vic!$C$3="Yes",Vic!L52,Vic!L52*(1-'Gap data'!$C99)),"")</f>
        <v>418.78999999999996</v>
      </c>
      <c r="G504" s="84"/>
      <c r="H504" s="86" t="s">
        <v>389</v>
      </c>
      <c r="I504" s="87" t="s">
        <v>390</v>
      </c>
      <c r="J504" s="88">
        <f t="shared" si="106"/>
        <v>0</v>
      </c>
      <c r="K504" s="88">
        <f t="shared" si="107"/>
        <v>0</v>
      </c>
      <c r="M504" s="767">
        <f>IFERROR(Vic!K52-E504,0)</f>
        <v>0</v>
      </c>
      <c r="N504" s="767">
        <f>IFERROR(Vic!L52-F504,0)</f>
        <v>0</v>
      </c>
    </row>
    <row r="505" spans="1:14">
      <c r="A505" s="874"/>
      <c r="B505" s="1060"/>
      <c r="C505" s="768" t="s">
        <v>118</v>
      </c>
      <c r="D505" s="769" t="s">
        <v>117</v>
      </c>
      <c r="E505" s="275">
        <f>IFERROR(IF(Vic!$C$3="Yes",Vic!K53,Vic!K53*(1-'Gap data'!$C100)),"")</f>
        <v>599.49</v>
      </c>
      <c r="F505" s="275">
        <f>IFERROR(IF(Vic!$C$3="Yes",Vic!L53,Vic!L53*(1-'Gap data'!$C100)),"")</f>
        <v>418.78999999999996</v>
      </c>
      <c r="G505" s="84"/>
      <c r="H505" s="86" t="s">
        <v>391</v>
      </c>
      <c r="I505" s="87" t="s">
        <v>392</v>
      </c>
      <c r="J505" s="88">
        <f>E508</f>
        <v>0</v>
      </c>
      <c r="K505" s="88">
        <f>F508</f>
        <v>30.060000000000002</v>
      </c>
      <c r="M505" s="767">
        <f>IFERROR(Vic!K53-E505,0)</f>
        <v>0</v>
      </c>
      <c r="N505" s="767">
        <f>IFERROR(Vic!L53-F505,0)</f>
        <v>0</v>
      </c>
    </row>
    <row r="506" spans="1:14">
      <c r="A506" s="872" t="s">
        <v>53</v>
      </c>
      <c r="B506" s="1058" t="s">
        <v>54</v>
      </c>
      <c r="C506" s="768" t="s">
        <v>55</v>
      </c>
      <c r="D506" s="773" t="s">
        <v>160</v>
      </c>
      <c r="E506" s="275">
        <f>IFERROR(IF(Vic!$C$3="Yes",Vic!K54,Vic!K54*(1-'Gap data'!$C101)),"")</f>
        <v>210.64</v>
      </c>
      <c r="F506" s="275">
        <f>IFERROR(IF(Vic!$C$3="Yes",Vic!L54,Vic!L54*(1-'Gap data'!$C101)),"")</f>
        <v>17399.349999999999</v>
      </c>
      <c r="G506" s="84"/>
      <c r="H506" s="770"/>
      <c r="I506" s="94" t="s">
        <v>405</v>
      </c>
      <c r="J506" s="771"/>
      <c r="K506" s="772"/>
      <c r="M506" s="767">
        <f>IFERROR(Vic!K54-E506,0)</f>
        <v>0</v>
      </c>
      <c r="N506" s="767">
        <f>IFERROR(Vic!L54-F506,0)</f>
        <v>0</v>
      </c>
    </row>
    <row r="507" spans="1:14">
      <c r="A507" s="873"/>
      <c r="B507" s="1059"/>
      <c r="C507" s="768" t="s">
        <v>56</v>
      </c>
      <c r="D507" s="769" t="s">
        <v>161</v>
      </c>
      <c r="E507" s="275">
        <f>IFERROR(IF(Vic!$C$3="Yes",Vic!K55,Vic!K55*(1-'Gap data'!$C102)),"")</f>
        <v>5.54</v>
      </c>
      <c r="F507" s="275">
        <f>IFERROR(IF(Vic!$C$3="Yes",Vic!L55,Vic!L55*(1-'Gap data'!$C102)),"")</f>
        <v>3.01</v>
      </c>
      <c r="G507" s="84"/>
      <c r="H507" s="86" t="s">
        <v>393</v>
      </c>
      <c r="I507" s="87" t="s">
        <v>394</v>
      </c>
      <c r="J507" s="99">
        <f>'Gap data'!$B$23*'Gap data'!H12</f>
        <v>1685037.6702660478</v>
      </c>
      <c r="K507" s="99">
        <f>'Gap data'!$B$23*'Gap data'!H13</f>
        <v>1699054.2748237359</v>
      </c>
      <c r="M507" s="767">
        <f>IFERROR(Vic!K55-E507,0)</f>
        <v>0</v>
      </c>
      <c r="N507" s="767">
        <f>IFERROR(Vic!L55-F507,0)</f>
        <v>0</v>
      </c>
    </row>
    <row r="508" spans="1:14">
      <c r="A508" s="873"/>
      <c r="B508" s="1059"/>
      <c r="C508" s="768" t="s">
        <v>57</v>
      </c>
      <c r="D508" s="769" t="s">
        <v>162</v>
      </c>
      <c r="E508" s="275">
        <f>IFERROR(IF(Vic!$C$3="Yes",Vic!K56,Vic!K56*(1-'Gap data'!$C103)),"")</f>
        <v>0</v>
      </c>
      <c r="F508" s="275">
        <f>IFERROR(IF(Vic!$C$3="Yes",Vic!L56,Vic!L56*(1-'Gap data'!$C103)),"")</f>
        <v>30.060000000000002</v>
      </c>
      <c r="G508" s="84"/>
      <c r="H508" s="86" t="s">
        <v>395</v>
      </c>
      <c r="I508" s="87" t="s">
        <v>396</v>
      </c>
      <c r="J508" s="762">
        <v>0</v>
      </c>
      <c r="K508" s="762">
        <v>0</v>
      </c>
      <c r="M508" s="767">
        <f>IFERROR(Vic!K56-E508,0)</f>
        <v>0</v>
      </c>
      <c r="N508" s="767">
        <f>IFERROR(Vic!L56-F508,0)</f>
        <v>0</v>
      </c>
    </row>
    <row r="509" spans="1:14">
      <c r="A509" s="873"/>
      <c r="B509" s="1059"/>
      <c r="C509" s="768" t="s">
        <v>120</v>
      </c>
      <c r="D509" s="769" t="s">
        <v>119</v>
      </c>
      <c r="E509" s="449"/>
      <c r="F509" s="449"/>
      <c r="G509" s="84"/>
      <c r="H509" s="100"/>
      <c r="I509" s="774" t="s">
        <v>408</v>
      </c>
      <c r="J509" s="775"/>
      <c r="K509" s="776"/>
      <c r="M509" s="767">
        <f>IFERROR(Vic!K57-E509,0)</f>
        <v>0</v>
      </c>
      <c r="N509" s="767">
        <f>IFERROR(Vic!L57-F509,0)</f>
        <v>0</v>
      </c>
    </row>
    <row r="510" spans="1:14">
      <c r="A510" s="873"/>
      <c r="B510" s="1059"/>
      <c r="C510" s="768" t="s">
        <v>122</v>
      </c>
      <c r="D510" s="769" t="s">
        <v>121</v>
      </c>
      <c r="E510" s="449"/>
      <c r="F510" s="449"/>
      <c r="G510" s="84"/>
      <c r="H510" s="777">
        <v>1</v>
      </c>
      <c r="I510" s="769" t="s">
        <v>397</v>
      </c>
      <c r="J510" s="85">
        <f>SUM(E475:E476,E481:E482)</f>
        <v>38.760999999999996</v>
      </c>
      <c r="K510" s="85">
        <f>SUM(F475:F476,F481:F482)</f>
        <v>16.37</v>
      </c>
      <c r="M510" s="767">
        <f>IFERROR(Vic!K58-E510,0)</f>
        <v>0</v>
      </c>
      <c r="N510" s="767">
        <f>IFERROR(Vic!L58-F510,0)</f>
        <v>0</v>
      </c>
    </row>
    <row r="511" spans="1:14">
      <c r="A511" s="873"/>
      <c r="B511" s="1059"/>
      <c r="C511" s="768" t="s">
        <v>124</v>
      </c>
      <c r="D511" s="769" t="s">
        <v>123</v>
      </c>
      <c r="E511" s="449"/>
      <c r="F511" s="449"/>
      <c r="G511" s="84"/>
      <c r="H511" s="777">
        <v>2</v>
      </c>
      <c r="I511" s="769" t="s">
        <v>398</v>
      </c>
      <c r="J511" s="85">
        <f>SUM(E483:E485,E488)</f>
        <v>2979.9050000000002</v>
      </c>
      <c r="K511" s="85">
        <f>SUM(F483:F485,F488)</f>
        <v>2720.7409999999995</v>
      </c>
      <c r="M511" s="767">
        <f>IFERROR(Vic!K59-E511,0)</f>
        <v>0</v>
      </c>
      <c r="N511" s="767">
        <f>IFERROR(Vic!L59-F511,0)</f>
        <v>0</v>
      </c>
    </row>
    <row r="512" spans="1:14">
      <c r="A512" s="873"/>
      <c r="B512" s="1059"/>
      <c r="C512" s="768" t="s">
        <v>58</v>
      </c>
      <c r="D512" s="769" t="s">
        <v>136</v>
      </c>
      <c r="E512" s="275">
        <f>IFERROR(IF(Vic!$C$3="Yes",Vic!K60,Vic!K60*(1-'Gap data'!$C107)),"")</f>
        <v>16.059999999999999</v>
      </c>
      <c r="F512" s="275">
        <f>IFERROR(IF(Vic!$C$3="Yes",Vic!L60,Vic!L60*(1-'Gap data'!$C107)),"")</f>
        <v>20.18</v>
      </c>
      <c r="G512" s="84"/>
      <c r="H512" s="777">
        <v>3</v>
      </c>
      <c r="I512" s="769" t="s">
        <v>323</v>
      </c>
      <c r="J512" s="85">
        <f>SUM(E512:E515)</f>
        <v>175.77</v>
      </c>
      <c r="K512" s="85">
        <f>SUM(F512:F515)</f>
        <v>146.47399999999999</v>
      </c>
      <c r="M512" s="767">
        <f>IFERROR(Vic!K60-E512,0)</f>
        <v>0</v>
      </c>
      <c r="N512" s="767">
        <f>IFERROR(Vic!L60-F512,0)</f>
        <v>0</v>
      </c>
    </row>
    <row r="513" spans="1:14">
      <c r="A513" s="873"/>
      <c r="B513" s="1059"/>
      <c r="C513" s="768" t="s">
        <v>59</v>
      </c>
      <c r="D513" s="769" t="s">
        <v>125</v>
      </c>
      <c r="E513" s="275">
        <f>IFERROR(IF(Vic!$C$3="Yes",Vic!K61,Vic!K61*(1-'Gap data'!$C108)),"")</f>
        <v>10.56</v>
      </c>
      <c r="F513" s="275">
        <f>IFERROR(IF(Vic!$C$3="Yes",Vic!L61,Vic!L61*(1-'Gap data'!$C108)),"")</f>
        <v>22.34</v>
      </c>
      <c r="G513" s="84"/>
      <c r="H513" s="777">
        <v>4</v>
      </c>
      <c r="I513" s="769" t="s">
        <v>159</v>
      </c>
      <c r="J513" s="85">
        <f t="shared" ref="J513" si="108">SUM(E502:E505)</f>
        <v>74154.136999999886</v>
      </c>
      <c r="K513" s="85">
        <f>SUM(F502:F505)</f>
        <v>75861.606999999582</v>
      </c>
      <c r="M513" s="767">
        <f>IFERROR(Vic!K61-E513,0)</f>
        <v>0</v>
      </c>
      <c r="N513" s="767">
        <f>IFERROR(Vic!L61-F513,0)</f>
        <v>0</v>
      </c>
    </row>
    <row r="514" spans="1:14">
      <c r="A514" s="873"/>
      <c r="B514" s="1059"/>
      <c r="C514" s="768" t="s">
        <v>60</v>
      </c>
      <c r="D514" s="773" t="s">
        <v>163</v>
      </c>
      <c r="E514" s="275">
        <f>IFERROR(IF(Vic!$C$3="Yes",Vic!K62,Vic!K62*(1-'Gap data'!$C109)),"")</f>
        <v>149.15</v>
      </c>
      <c r="F514" s="275">
        <f>IFERROR(IF(Vic!$C$3="Yes",Vic!L62,Vic!L62*(1-'Gap data'!$C109)),"")</f>
        <v>103.94399999999999</v>
      </c>
      <c r="G514" s="84"/>
      <c r="H514" s="777">
        <v>5</v>
      </c>
      <c r="I514" s="187" t="s">
        <v>399</v>
      </c>
      <c r="J514" s="85">
        <f>E516</f>
        <v>4275.378999999999</v>
      </c>
      <c r="K514" s="85">
        <f>F516</f>
        <v>5042.3990000000049</v>
      </c>
      <c r="M514" s="767">
        <f>IFERROR(Vic!K62-E514,0)</f>
        <v>0</v>
      </c>
      <c r="N514" s="767">
        <f>IFERROR(Vic!L62-F514,0)</f>
        <v>0</v>
      </c>
    </row>
    <row r="515" spans="1:14">
      <c r="A515" s="874"/>
      <c r="B515" s="1060"/>
      <c r="C515" s="768" t="s">
        <v>61</v>
      </c>
      <c r="D515" s="769" t="s">
        <v>126</v>
      </c>
      <c r="E515" s="275">
        <f>IFERROR(IF(Vic!$C$3="Yes",Vic!K63,Vic!K63*(1-'Gap data'!$C110)),"")</f>
        <v>0</v>
      </c>
      <c r="F515" s="275">
        <f>IFERROR(IF(Vic!$C$3="Yes",Vic!L63,Vic!L63*(1-'Gap data'!$C110)),"")</f>
        <v>0.01</v>
      </c>
      <c r="G515" s="84"/>
      <c r="H515" s="89">
        <v>6</v>
      </c>
      <c r="I515" s="105" t="s">
        <v>462</v>
      </c>
      <c r="J515" s="763">
        <f t="shared" ref="J515" si="109">E517</f>
        <v>138393.86700000009</v>
      </c>
      <c r="K515" s="763">
        <f t="shared" ref="K515" si="110">F517</f>
        <v>188980.27599999987</v>
      </c>
      <c r="M515" s="767">
        <f>IFERROR(Vic!K63-E515,0)</f>
        <v>0</v>
      </c>
      <c r="N515" s="767">
        <f>IFERROR(Vic!L63-F515,0)</f>
        <v>0</v>
      </c>
    </row>
    <row r="516" spans="1:14">
      <c r="A516" s="872" t="s">
        <v>62</v>
      </c>
      <c r="B516" s="1058" t="s">
        <v>164</v>
      </c>
      <c r="C516" s="768" t="s">
        <v>63</v>
      </c>
      <c r="D516" s="769" t="s">
        <v>165</v>
      </c>
      <c r="E516" s="275">
        <f>IFERROR(IF(Vic!$C$3="Yes",Vic!K64,Vic!K64*(1-'Gap data'!$C111)),"")</f>
        <v>4275.378999999999</v>
      </c>
      <c r="F516" s="275">
        <f>IFERROR(IF(Vic!$C$3="Yes",Vic!L64,Vic!L64*(1-'Gap data'!$C111)),"")</f>
        <v>5042.3990000000049</v>
      </c>
      <c r="H516" s="89">
        <v>7</v>
      </c>
      <c r="I516" s="105" t="s">
        <v>463</v>
      </c>
      <c r="J516" s="763">
        <f>SUM(E518,E521)</f>
        <v>2041.5630000000006</v>
      </c>
      <c r="K516" s="763">
        <f>SUM(F518,F521)</f>
        <v>2154.9500000000007</v>
      </c>
      <c r="M516" s="767">
        <f>IFERROR(Vic!K64-E516,0)</f>
        <v>0</v>
      </c>
      <c r="N516" s="767">
        <f>IFERROR(Vic!L64-F516,0)</f>
        <v>0</v>
      </c>
    </row>
    <row r="517" spans="1:14">
      <c r="A517" s="873"/>
      <c r="B517" s="1059"/>
      <c r="C517" s="768" t="s">
        <v>64</v>
      </c>
      <c r="D517" s="769" t="s">
        <v>127</v>
      </c>
      <c r="E517" s="275">
        <f>IFERROR(IF(Vic!$C$3="Yes",Vic!K65,Vic!K65*(1-'Gap data'!$C112)),"")</f>
        <v>138393.86700000009</v>
      </c>
      <c r="F517" s="275">
        <f>IFERROR(IF(Vic!$C$3="Yes",Vic!L65,Vic!L65*(1-'Gap data'!$C112)),"")</f>
        <v>188980.27599999987</v>
      </c>
      <c r="G517" s="760" t="str">
        <f>G497</f>
        <v>Vic</v>
      </c>
      <c r="H517" s="89">
        <v>8</v>
      </c>
      <c r="I517" s="104" t="s">
        <v>133</v>
      </c>
      <c r="J517" s="85">
        <f>E530</f>
        <v>45395.5</v>
      </c>
      <c r="K517" s="85">
        <f>F530</f>
        <v>45395.5</v>
      </c>
      <c r="M517" s="767">
        <f>IFERROR(Vic!K65-E517,0)</f>
        <v>0</v>
      </c>
      <c r="N517" s="767">
        <f>IFERROR(Vic!L65-F517,0)</f>
        <v>0</v>
      </c>
    </row>
    <row r="518" spans="1:14">
      <c r="A518" s="873"/>
      <c r="B518" s="1059"/>
      <c r="C518" s="768" t="s">
        <v>65</v>
      </c>
      <c r="D518" s="769" t="s">
        <v>166</v>
      </c>
      <c r="E518" s="275">
        <f>IFERROR(IF(Vic!$C$3="Yes",Vic!K66,Vic!K66*(1-'Gap data'!$C113)),"")</f>
        <v>33.82</v>
      </c>
      <c r="F518" s="275">
        <f>IFERROR(IF(Vic!$C$3="Yes",Vic!L66,Vic!L66*(1-'Gap data'!$C113)),"")</f>
        <v>46.98</v>
      </c>
      <c r="G518" s="69"/>
      <c r="H518" s="778"/>
      <c r="I518" s="779"/>
      <c r="J518" s="778"/>
      <c r="K518" s="778"/>
      <c r="M518" s="767">
        <f>IFERROR(Vic!K66-E518,0)</f>
        <v>0</v>
      </c>
      <c r="N518" s="767">
        <f>IFERROR(Vic!L66-F518,0)</f>
        <v>0</v>
      </c>
    </row>
    <row r="519" spans="1:14">
      <c r="A519" s="873"/>
      <c r="B519" s="1059"/>
      <c r="C519" s="768" t="s">
        <v>66</v>
      </c>
      <c r="D519" s="769" t="s">
        <v>173</v>
      </c>
      <c r="E519" s="275">
        <f>IFERROR(IF(Vic!$C$3="Yes",Vic!K67,Vic!K67*(1-'Gap data'!$C114)),"")</f>
        <v>104.42000000000002</v>
      </c>
      <c r="F519" s="275">
        <f>IFERROR(IF(Vic!$C$3="Yes",Vic!L67,Vic!L67*(1-'Gap data'!$C114)),"")</f>
        <v>49.009999999999984</v>
      </c>
      <c r="G519" s="69"/>
      <c r="H519" s="778"/>
      <c r="I519" s="779"/>
      <c r="J519" s="778"/>
      <c r="K519" s="778"/>
      <c r="M519" s="767">
        <f>IFERROR(Vic!K67-E519,0)</f>
        <v>0</v>
      </c>
      <c r="N519" s="767">
        <f>IFERROR(Vic!L67-F519,0)</f>
        <v>0</v>
      </c>
    </row>
    <row r="520" spans="1:14">
      <c r="A520" s="873"/>
      <c r="B520" s="1059"/>
      <c r="C520" s="768" t="s">
        <v>67</v>
      </c>
      <c r="D520" s="769" t="s">
        <v>174</v>
      </c>
      <c r="E520" s="275">
        <f>IFERROR(IF(Vic!$C$3="Yes",Vic!K68,Vic!K68*(1-'Gap data'!$C115)),"")</f>
        <v>7359.8300000000008</v>
      </c>
      <c r="F520" s="275">
        <f>IFERROR(IF(Vic!$C$3="Yes",Vic!L68,Vic!L68*(1-'Gap data'!$C115)),"")</f>
        <v>9357.551999999996</v>
      </c>
      <c r="G520" s="69"/>
      <c r="H520" s="778"/>
      <c r="I520" s="779"/>
      <c r="J520" s="778"/>
      <c r="K520" s="778"/>
      <c r="M520" s="767">
        <f>IFERROR(Vic!K68-E520,0)</f>
        <v>0</v>
      </c>
      <c r="N520" s="767">
        <f>IFERROR(Vic!L68-F520,0)</f>
        <v>0</v>
      </c>
    </row>
    <row r="521" spans="1:14">
      <c r="A521" s="873"/>
      <c r="B521" s="1059"/>
      <c r="C521" s="768" t="s">
        <v>68</v>
      </c>
      <c r="D521" s="769" t="s">
        <v>175</v>
      </c>
      <c r="E521" s="275">
        <f>IFERROR(IF(Vic!$C$3="Yes",Vic!K69,Vic!K69*(1-'Gap data'!$C116)),"")</f>
        <v>2007.7430000000006</v>
      </c>
      <c r="F521" s="275">
        <f>IFERROR(IF(Vic!$C$3="Yes",Vic!L69,Vic!L69*(1-'Gap data'!$C116)),"")</f>
        <v>2107.9700000000007</v>
      </c>
      <c r="G521" s="69"/>
      <c r="H521" s="778"/>
      <c r="I521" s="779"/>
      <c r="J521" s="778"/>
      <c r="K521" s="778"/>
      <c r="M521" s="767">
        <f>IFERROR(Vic!K69-E521,0)</f>
        <v>0</v>
      </c>
      <c r="N521" s="767">
        <f>IFERROR(Vic!L69-F521,0)</f>
        <v>0</v>
      </c>
    </row>
    <row r="522" spans="1:14">
      <c r="A522" s="873"/>
      <c r="B522" s="1059"/>
      <c r="C522" s="768" t="s">
        <v>128</v>
      </c>
      <c r="D522" s="769" t="s">
        <v>167</v>
      </c>
      <c r="E522" s="465">
        <f>IF(ISNUMBER(Vic!K70),Vic!K70*IF(Vic!$C$3="Yes",1,1-'Gap data'!$C119),0)+'Gap data'!$H$35</f>
        <v>220900.75190700137</v>
      </c>
      <c r="F522" s="465">
        <f>IF(ISNUMBER(Vic!L70),Vic!L70*IF(Vic!$C$3="Yes",1,1-'Gap data'!$C119),0)+'Gap data'!$H$35</f>
        <v>221203.89090700136</v>
      </c>
      <c r="G522" s="69"/>
      <c r="H522" s="778"/>
      <c r="I522" s="779"/>
      <c r="J522" s="778"/>
      <c r="K522" s="778"/>
      <c r="M522" s="767"/>
      <c r="N522" s="767"/>
    </row>
    <row r="523" spans="1:14">
      <c r="A523" s="873"/>
      <c r="B523" s="1059"/>
      <c r="C523" s="768" t="s">
        <v>69</v>
      </c>
      <c r="D523" s="769" t="s">
        <v>129</v>
      </c>
      <c r="E523" s="275">
        <f>IFERROR(IF(Vic!$C$3="Yes",Vic!K71,Vic!K71*(1-'Gap data'!$C118)),"")</f>
        <v>41513.298999999963</v>
      </c>
      <c r="F523" s="275">
        <f>IFERROR(IF(Vic!$C$3="Yes",Vic!L71,Vic!L71*(1-'Gap data'!$C118)),"")</f>
        <v>44188.370999999963</v>
      </c>
      <c r="G523" s="69"/>
      <c r="H523" s="778"/>
      <c r="I523" s="779"/>
      <c r="J523" s="778"/>
      <c r="K523" s="778"/>
      <c r="M523" s="767">
        <f>IFERROR(Vic!K71-E523,0)</f>
        <v>0</v>
      </c>
      <c r="N523" s="767">
        <f>IFERROR(Vic!L71-F523,0)</f>
        <v>0</v>
      </c>
    </row>
    <row r="524" spans="1:14">
      <c r="A524" s="874"/>
      <c r="B524" s="1060"/>
      <c r="C524" s="768" t="s">
        <v>70</v>
      </c>
      <c r="D524" s="769" t="s">
        <v>168</v>
      </c>
      <c r="E524" s="275">
        <f>IFERROR(IF(Vic!$C$3="Yes",Vic!K72,Vic!K72*(1-'Gap data'!$C119)),"")</f>
        <v>26.419999999999995</v>
      </c>
      <c r="F524" s="275">
        <f>IFERROR(IF(Vic!$C$3="Yes",Vic!L72,Vic!L72*(1-'Gap data'!$C119)),"")</f>
        <v>50.099999999999987</v>
      </c>
      <c r="G524" s="69"/>
      <c r="H524" s="778"/>
      <c r="I524" s="779"/>
      <c r="J524" s="778"/>
      <c r="K524" s="778"/>
      <c r="M524" s="767">
        <f>IFERROR(Vic!K72-E524,0)</f>
        <v>0</v>
      </c>
      <c r="N524" s="767">
        <f>IFERROR(Vic!L72-F524,0)</f>
        <v>0</v>
      </c>
    </row>
    <row r="525" spans="1:14">
      <c r="A525" s="872" t="s">
        <v>71</v>
      </c>
      <c r="B525" s="1058" t="s">
        <v>169</v>
      </c>
      <c r="C525" s="768" t="s">
        <v>72</v>
      </c>
      <c r="D525" s="769" t="s">
        <v>170</v>
      </c>
      <c r="E525" s="275">
        <f>IFERROR(IF(Vic!$C$3="Yes",Vic!K73,Vic!K73*(1-'Gap data'!$C120)),"")</f>
        <v>5557.4410000000144</v>
      </c>
      <c r="F525" s="275">
        <f>IFERROR(IF(Vic!$C$3="Yes",Vic!L73,Vic!L73*(1-'Gap data'!$C120)),"")</f>
        <v>6215.2310000000143</v>
      </c>
      <c r="G525" s="69"/>
      <c r="H525" s="778"/>
      <c r="I525" s="779"/>
      <c r="J525" s="778"/>
      <c r="K525" s="778"/>
      <c r="M525" s="767">
        <f>IFERROR(Vic!K73-E525,0)</f>
        <v>0</v>
      </c>
      <c r="N525" s="767">
        <f>IFERROR(Vic!L73-F525,0)</f>
        <v>0</v>
      </c>
    </row>
    <row r="526" spans="1:14">
      <c r="A526" s="873"/>
      <c r="B526" s="1059"/>
      <c r="C526" s="768" t="s">
        <v>73</v>
      </c>
      <c r="D526" s="769" t="s">
        <v>130</v>
      </c>
      <c r="E526" s="275">
        <f>IFERROR(IF(Vic!$C$3="Yes",Vic!K74,Vic!K74*(1-'Gap data'!$C121)),"")</f>
        <v>275.27899999999926</v>
      </c>
      <c r="F526" s="275">
        <f>IFERROR(IF(Vic!$C$3="Yes",Vic!L74,Vic!L74*(1-'Gap data'!$C121)),"")</f>
        <v>263.83199999999999</v>
      </c>
      <c r="G526" s="69"/>
      <c r="H526" s="778"/>
      <c r="I526" s="779"/>
      <c r="J526" s="778"/>
      <c r="K526" s="778"/>
      <c r="M526" s="767">
        <f>IFERROR(Vic!K74-E526,0)</f>
        <v>0</v>
      </c>
      <c r="N526" s="767">
        <f>IFERROR(Vic!L74-F526,0)</f>
        <v>0</v>
      </c>
    </row>
    <row r="527" spans="1:14">
      <c r="A527" s="874"/>
      <c r="B527" s="1060"/>
      <c r="C527" s="768" t="s">
        <v>74</v>
      </c>
      <c r="D527" s="769" t="s">
        <v>131</v>
      </c>
      <c r="E527" s="275">
        <f>IFERROR(IF(Vic!$C$3="Yes",Vic!K75,Vic!K75*(1-'Gap data'!$C122)),"")</f>
        <v>214.43000000000029</v>
      </c>
      <c r="F527" s="275">
        <f>IFERROR(IF(Vic!$C$3="Yes",Vic!L75,Vic!L75*(1-'Gap data'!$C122)),"")</f>
        <v>204.23900000000009</v>
      </c>
      <c r="G527" s="69"/>
      <c r="H527" s="778"/>
      <c r="I527" s="779"/>
      <c r="J527" s="778"/>
      <c r="K527" s="778"/>
      <c r="M527" s="767">
        <f>IFERROR(Vic!K75-E527,0)</f>
        <v>0</v>
      </c>
      <c r="N527" s="767">
        <f>IFERROR(Vic!L75-F527,0)</f>
        <v>0</v>
      </c>
    </row>
    <row r="528" spans="1:14">
      <c r="A528" s="872" t="s">
        <v>75</v>
      </c>
      <c r="B528" s="1058" t="s">
        <v>76</v>
      </c>
      <c r="C528" s="768" t="s">
        <v>77</v>
      </c>
      <c r="D528" s="773" t="s">
        <v>171</v>
      </c>
      <c r="E528" s="275">
        <f>IFERROR(IF(Vic!$C$3="Yes",Vic!K76,Vic!K76*(1-'Gap data'!$C123)),"")</f>
        <v>31.976000000000003</v>
      </c>
      <c r="F528" s="275">
        <f>IFERROR(IF(Vic!$C$3="Yes",Vic!L76,Vic!L76*(1-'Gap data'!$C123)),"")</f>
        <v>34.897999999999989</v>
      </c>
      <c r="G528" s="69"/>
      <c r="H528" s="778"/>
      <c r="I528" s="779"/>
      <c r="J528" s="778"/>
      <c r="K528" s="778"/>
      <c r="M528" s="767">
        <f>IFERROR(Vic!K76-E528,0)</f>
        <v>0</v>
      </c>
      <c r="N528" s="767">
        <f>IFERROR(Vic!L76-F528,0)</f>
        <v>0</v>
      </c>
    </row>
    <row r="529" spans="1:14">
      <c r="A529" s="873"/>
      <c r="B529" s="1059"/>
      <c r="C529" s="768" t="s">
        <v>78</v>
      </c>
      <c r="D529" s="769" t="s">
        <v>132</v>
      </c>
      <c r="E529" s="275">
        <f>IFERROR(IF(Vic!$C$3="Yes",Vic!K77,Vic!K77*(1-'Gap data'!$C124)),"")</f>
        <v>210.24</v>
      </c>
      <c r="F529" s="275">
        <f>IFERROR(IF(Vic!$C$3="Yes",Vic!L77,Vic!L77*(1-'Gap data'!$C124)),"")</f>
        <v>180.49799999999996</v>
      </c>
      <c r="G529" s="69"/>
      <c r="H529" s="778"/>
      <c r="I529" s="779"/>
      <c r="J529" s="778"/>
      <c r="K529" s="778"/>
      <c r="M529" s="767">
        <f>IFERROR(Vic!K77-E529,0)</f>
        <v>0</v>
      </c>
      <c r="N529" s="767">
        <f>IFERROR(Vic!L77-F529,0)</f>
        <v>0</v>
      </c>
    </row>
    <row r="530" spans="1:14">
      <c r="A530" s="873"/>
      <c r="B530" s="1059"/>
      <c r="C530" s="768" t="s">
        <v>134</v>
      </c>
      <c r="D530" s="769" t="s">
        <v>133</v>
      </c>
      <c r="E530" s="99">
        <f>'Gap data'!$H$42</f>
        <v>45395.5</v>
      </c>
      <c r="F530" s="99">
        <f>'Gap data'!$H$42</f>
        <v>45395.5</v>
      </c>
      <c r="G530" s="69"/>
      <c r="H530" s="778"/>
      <c r="I530" s="779"/>
      <c r="J530" s="778"/>
      <c r="K530" s="778"/>
      <c r="M530" s="767"/>
      <c r="N530" s="767"/>
    </row>
    <row r="531" spans="1:14">
      <c r="A531" s="874"/>
      <c r="B531" s="1060"/>
      <c r="C531" s="768" t="s">
        <v>172</v>
      </c>
      <c r="D531" s="769" t="s">
        <v>135</v>
      </c>
      <c r="E531" s="275">
        <f>IFERROR(IF(Vic!$C$3="Yes",Vic!K79,Vic!K79*(1-'Gap data'!$C126)),"")</f>
        <v>2.12</v>
      </c>
      <c r="F531" s="275">
        <f>IFERROR(IF(Vic!$C$3="Yes",Vic!L79,Vic!L79*(1-'Gap data'!$C126)),"")</f>
        <v>9.4</v>
      </c>
      <c r="G531" s="69"/>
      <c r="H531" s="778"/>
      <c r="I531" s="779"/>
      <c r="J531" s="778"/>
      <c r="K531" s="778"/>
      <c r="M531" s="767">
        <f>IFERROR(Vic!K79-E531,0)</f>
        <v>0</v>
      </c>
      <c r="N531" s="767">
        <f>IFERROR(Vic!L79-F531,0)</f>
        <v>0</v>
      </c>
    </row>
    <row r="532" spans="1:14">
      <c r="G532" s="69"/>
      <c r="H532" s="778"/>
      <c r="I532" s="779"/>
      <c r="J532" s="778"/>
      <c r="K532" s="778"/>
    </row>
    <row r="533" spans="1:14" s="625" customFormat="1" ht="15.75">
      <c r="A533" s="625" t="s">
        <v>450</v>
      </c>
      <c r="D533" s="758"/>
      <c r="G533" s="759"/>
      <c r="H533" s="625" t="str">
        <f>A533</f>
        <v>Adjusted WA data</v>
      </c>
      <c r="I533" s="758"/>
    </row>
    <row r="535" spans="1:14">
      <c r="A535" s="872" t="s">
        <v>3</v>
      </c>
      <c r="B535" s="1055" t="s">
        <v>137</v>
      </c>
      <c r="C535" s="83" t="s">
        <v>4</v>
      </c>
      <c r="D535" s="104" t="s">
        <v>79</v>
      </c>
      <c r="E535" s="275">
        <f>IFERROR(IF(WA!$E$3="Yes",WA!L8,WA!L8*(1-'Gap data'!$C57)),"")</f>
        <v>561.548</v>
      </c>
      <c r="F535" s="275">
        <f>IFERROR(IF(WA!$E$3="Yes",WA!M8,WA!M8*(1-'Gap data'!$C57)),"")</f>
        <v>1373.7139999999999</v>
      </c>
      <c r="G535" s="84"/>
      <c r="H535" s="86" t="s">
        <v>324</v>
      </c>
      <c r="I535" s="87" t="s">
        <v>325</v>
      </c>
      <c r="J535" s="29" t="str">
        <f t="shared" ref="J535:K535" si="111">E600</f>
        <v/>
      </c>
      <c r="K535" s="29">
        <f t="shared" si="111"/>
        <v>1321.2568198226627</v>
      </c>
      <c r="M535" s="767">
        <f>IFERROR(WA!L8-E535,0)</f>
        <v>0</v>
      </c>
      <c r="N535" s="767">
        <f>IFERROR(WA!M8-F535,0)</f>
        <v>0</v>
      </c>
    </row>
    <row r="536" spans="1:14">
      <c r="A536" s="873"/>
      <c r="B536" s="1056"/>
      <c r="C536" s="83" t="s">
        <v>138</v>
      </c>
      <c r="D536" s="104" t="s">
        <v>139</v>
      </c>
      <c r="E536" s="275" t="str">
        <f>IFERROR(IF(WA!$E$3="Yes",WA!L9,WA!L9*(1-'Gap data'!$C58)),"")</f>
        <v/>
      </c>
      <c r="F536" s="275">
        <f>IFERROR(IF(WA!$E$3="Yes",WA!M9,WA!M9*(1-'Gap data'!$C58)),"")</f>
        <v>3.0019</v>
      </c>
      <c r="G536" s="84"/>
      <c r="H536" s="86" t="s">
        <v>326</v>
      </c>
      <c r="I536" s="87" t="s">
        <v>327</v>
      </c>
      <c r="J536" s="29" t="str">
        <f t="shared" ref="J536:K536" si="112">E602</f>
        <v/>
      </c>
      <c r="K536" s="29">
        <f t="shared" si="112"/>
        <v>9.9201822293925197</v>
      </c>
      <c r="M536" s="767">
        <f>IFERROR(WA!L9-E536,0)</f>
        <v>0</v>
      </c>
      <c r="N536" s="767">
        <f>IFERROR(WA!M9-F536,0)</f>
        <v>0</v>
      </c>
    </row>
    <row r="537" spans="1:14">
      <c r="A537" s="874"/>
      <c r="B537" s="1057"/>
      <c r="C537" s="83" t="s">
        <v>81</v>
      </c>
      <c r="D537" s="104" t="s">
        <v>80</v>
      </c>
      <c r="E537" s="275">
        <f>IFERROR(IF(WA!$E$3="Yes",WA!L10,WA!L10*(1-'Gap data'!$C59)),"")</f>
        <v>15.63574115968453</v>
      </c>
      <c r="F537" s="275">
        <f>IFERROR(IF(WA!$E$3="Yes",WA!M10,WA!M10*(1-'Gap data'!$C59)),"")</f>
        <v>13.002373907622022</v>
      </c>
      <c r="G537" s="84"/>
      <c r="H537" s="86" t="s">
        <v>328</v>
      </c>
      <c r="I537" s="87" t="s">
        <v>130</v>
      </c>
      <c r="J537" s="29" t="str">
        <f t="shared" ref="J537:K537" si="113">E601</f>
        <v/>
      </c>
      <c r="K537" s="29">
        <f t="shared" si="113"/>
        <v>12.777296554781064</v>
      </c>
      <c r="M537" s="767">
        <f>IFERROR(WA!L10-E537,0)</f>
        <v>0.24125884031547074</v>
      </c>
      <c r="N537" s="767">
        <f>IFERROR(WA!M10-F537,0)</f>
        <v>0.20062609237797702</v>
      </c>
    </row>
    <row r="538" spans="1:14">
      <c r="A538" s="90" t="s">
        <v>5</v>
      </c>
      <c r="B538" s="764" t="s">
        <v>6</v>
      </c>
      <c r="C538" s="83" t="s">
        <v>7</v>
      </c>
      <c r="D538" s="104" t="s">
        <v>82</v>
      </c>
      <c r="E538" s="275">
        <f>IFERROR(IF(WA!$E$3="Yes",WA!L11,WA!L11*(1-'Gap data'!$C60)),"")</f>
        <v>1083.0454133492563</v>
      </c>
      <c r="F538" s="275">
        <f>IFERROR(IF(WA!$E$3="Yes",WA!M11,WA!M11*(1-'Gap data'!$C60)),"")</f>
        <v>567.73141105119953</v>
      </c>
      <c r="G538" s="84"/>
      <c r="H538" s="86" t="s">
        <v>329</v>
      </c>
      <c r="I538" s="87" t="s">
        <v>330</v>
      </c>
      <c r="J538" s="29" t="str">
        <f t="shared" ref="J538:K538" si="114">E571</f>
        <v/>
      </c>
      <c r="K538" s="29">
        <f t="shared" si="114"/>
        <v>909.03395376190417</v>
      </c>
      <c r="M538" s="767">
        <f>IFERROR(WA!L11-E538,0)</f>
        <v>12.384586650743586</v>
      </c>
      <c r="N538" s="767">
        <f>IFERROR(WA!M11-F538,0)</f>
        <v>6.4919889488005538</v>
      </c>
    </row>
    <row r="539" spans="1:14">
      <c r="A539" s="90" t="s">
        <v>8</v>
      </c>
      <c r="B539" s="764" t="s">
        <v>140</v>
      </c>
      <c r="C539" s="83" t="s">
        <v>9</v>
      </c>
      <c r="D539" s="104" t="s">
        <v>83</v>
      </c>
      <c r="E539" s="275">
        <f>IFERROR(IF(WA!$E$3="Yes",WA!L12,WA!L12*(1-'Gap data'!$C61)),"")</f>
        <v>45359.983278456399</v>
      </c>
      <c r="F539" s="275">
        <f>IFERROR(IF(WA!$E$3="Yes",WA!M12,WA!M12*(1-'Gap data'!$C61)),"")</f>
        <v>42593.530264757275</v>
      </c>
      <c r="G539" s="84"/>
      <c r="H539" s="86" t="s">
        <v>331</v>
      </c>
      <c r="I539" s="87" t="s">
        <v>332</v>
      </c>
      <c r="J539" s="29">
        <f t="shared" ref="J539:K539" si="115">E573</f>
        <v>20.472000000000001</v>
      </c>
      <c r="K539" s="29">
        <f t="shared" si="115"/>
        <v>18.350000000000001</v>
      </c>
      <c r="M539" s="767">
        <f>IFERROR(WA!L12-E539,0)</f>
        <v>64.836221543599095</v>
      </c>
      <c r="N539" s="767">
        <f>IFERROR(WA!M12-F539,0)</f>
        <v>60.881935242723557</v>
      </c>
    </row>
    <row r="540" spans="1:14">
      <c r="A540" s="872" t="s">
        <v>10</v>
      </c>
      <c r="B540" s="1055" t="s">
        <v>11</v>
      </c>
      <c r="C540" s="83" t="s">
        <v>12</v>
      </c>
      <c r="D540" s="104" t="s">
        <v>84</v>
      </c>
      <c r="E540" s="275">
        <f>IFERROR(IF(WA!$E$3="Yes",WA!L13,WA!L13*(1-'Gap data'!$C62)),"")</f>
        <v>5.0090011065586024</v>
      </c>
      <c r="F540" s="275">
        <f>IFERROR(IF(WA!$E$3="Yes",WA!M13,WA!M13*(1-'Gap data'!$C62)),"")</f>
        <v>9.3981258286728278E-2</v>
      </c>
      <c r="G540" s="84"/>
      <c r="H540" s="86" t="s">
        <v>333</v>
      </c>
      <c r="I540" s="87" t="s">
        <v>334</v>
      </c>
      <c r="J540" s="454"/>
      <c r="K540" s="454"/>
      <c r="M540" s="767">
        <f>IFERROR(WA!L13-E540,0)</f>
        <v>9.988934413973638E-4</v>
      </c>
      <c r="N540" s="767">
        <f>IFERROR(WA!M13-F540,0)</f>
        <v>1.8741713271722138E-5</v>
      </c>
    </row>
    <row r="541" spans="1:14">
      <c r="A541" s="873"/>
      <c r="B541" s="1056"/>
      <c r="C541" s="83" t="s">
        <v>13</v>
      </c>
      <c r="D541" s="104" t="s">
        <v>85</v>
      </c>
      <c r="E541" s="275">
        <f>IFERROR(IF(WA!$E$3="Yes",WA!L14,WA!L14*(1-'Gap data'!$C63)),"")</f>
        <v>8.2139093909390937</v>
      </c>
      <c r="F541" s="275">
        <f>IFERROR(IF(WA!$E$3="Yes",WA!M14,WA!M14*(1-'Gap data'!$C63)),"")</f>
        <v>10.785692319231924</v>
      </c>
      <c r="G541" s="84"/>
      <c r="H541" s="86" t="s">
        <v>335</v>
      </c>
      <c r="I541" s="87" t="s">
        <v>336</v>
      </c>
      <c r="J541" s="454"/>
      <c r="K541" s="454"/>
      <c r="M541" s="767">
        <f>IFERROR(WA!L14-E541,0)</f>
        <v>0.10609060906090662</v>
      </c>
      <c r="N541" s="767">
        <f>IFERROR(WA!M14-F541,0)</f>
        <v>0.13930768076807709</v>
      </c>
    </row>
    <row r="542" spans="1:14">
      <c r="A542" s="873"/>
      <c r="B542" s="1056"/>
      <c r="C542" s="83" t="s">
        <v>14</v>
      </c>
      <c r="D542" s="104" t="s">
        <v>86</v>
      </c>
      <c r="E542" s="275">
        <f>IFERROR(IF(WA!$E$3="Yes",WA!L15,WA!L15*(1-'Gap data'!$C64)),"")</f>
        <v>35.195376596388023</v>
      </c>
      <c r="F542" s="275">
        <f>IFERROR(IF(WA!$E$3="Yes",WA!M15,WA!M15*(1-'Gap data'!$C64)),"")</f>
        <v>85.953241622914334</v>
      </c>
      <c r="G542" s="84"/>
      <c r="H542" s="86" t="s">
        <v>337</v>
      </c>
      <c r="I542" s="87" t="s">
        <v>322</v>
      </c>
      <c r="J542" s="29">
        <f t="shared" ref="J542:K543" si="116">E574</f>
        <v>30452.377012350902</v>
      </c>
      <c r="K542" s="29">
        <f t="shared" si="116"/>
        <v>29804.101454788673</v>
      </c>
      <c r="M542" s="767">
        <f>IFERROR(WA!L15-E542,0)</f>
        <v>0.5672234036119761</v>
      </c>
      <c r="N542" s="767">
        <f>IFERROR(WA!M15-F542,0)</f>
        <v>1.3852583770856768</v>
      </c>
    </row>
    <row r="543" spans="1:14">
      <c r="A543" s="873"/>
      <c r="B543" s="1056"/>
      <c r="C543" s="83" t="s">
        <v>15</v>
      </c>
      <c r="D543" s="104" t="s">
        <v>87</v>
      </c>
      <c r="E543" s="275">
        <f>IFERROR(IF(WA!$E$3="Yes",WA!L16,WA!L16*(1-'Gap data'!$C65)),"")</f>
        <v>7.8484870428088414</v>
      </c>
      <c r="F543" s="275">
        <f>IFERROR(IF(WA!$E$3="Yes",WA!M16,WA!M16*(1-'Gap data'!$C65)),"")</f>
        <v>5.2489881496492252</v>
      </c>
      <c r="G543" s="84"/>
      <c r="H543" s="86" t="s">
        <v>338</v>
      </c>
      <c r="I543" s="87" t="s">
        <v>339</v>
      </c>
      <c r="J543" s="29">
        <f t="shared" si="116"/>
        <v>27335.72598538694</v>
      </c>
      <c r="K543" s="29">
        <f t="shared" si="116"/>
        <v>21946.018845031365</v>
      </c>
      <c r="M543" s="767">
        <f>IFERROR(WA!L16-E543,0)</f>
        <v>1.5129571911582929E-3</v>
      </c>
      <c r="N543" s="767">
        <f>IFERROR(WA!M16-F543,0)</f>
        <v>1.0118503507747789E-3</v>
      </c>
    </row>
    <row r="544" spans="1:14">
      <c r="A544" s="873"/>
      <c r="B544" s="1056"/>
      <c r="C544" s="83" t="s">
        <v>16</v>
      </c>
      <c r="D544" s="104" t="s">
        <v>88</v>
      </c>
      <c r="E544" s="275" t="str">
        <f>IFERROR(IF(WA!$E$3="Yes",WA!L17,WA!L17*(1-'Gap data'!$C66)),"")</f>
        <v/>
      </c>
      <c r="F544" s="275" t="str">
        <f>IFERROR(IF(WA!$E$3="Yes",WA!M17,WA!M17*(1-'Gap data'!$C66)),"")</f>
        <v/>
      </c>
      <c r="G544" s="84"/>
      <c r="H544" s="86" t="s">
        <v>340</v>
      </c>
      <c r="I544" s="87" t="s">
        <v>341</v>
      </c>
      <c r="J544" s="29" t="str">
        <f t="shared" ref="J544:K544" si="117">E581</f>
        <v/>
      </c>
      <c r="K544" s="29">
        <f t="shared" si="117"/>
        <v>23.106597163455017</v>
      </c>
      <c r="M544" s="767">
        <f>IFERROR(WA!L17-E544,0)</f>
        <v>0</v>
      </c>
      <c r="N544" s="767">
        <f>IFERROR(WA!M17-F544,0)</f>
        <v>0</v>
      </c>
    </row>
    <row r="545" spans="1:14">
      <c r="A545" s="873"/>
      <c r="B545" s="1056"/>
      <c r="C545" s="83" t="s">
        <v>17</v>
      </c>
      <c r="D545" s="104" t="s">
        <v>89</v>
      </c>
      <c r="E545" s="275" t="str">
        <f>IFERROR(IF(WA!$E$3="Yes",WA!L18,WA!L18*(1-'Gap data'!$C67)),"")</f>
        <v/>
      </c>
      <c r="F545" s="275" t="str">
        <f>IFERROR(IF(WA!$E$3="Yes",WA!M18,WA!M18*(1-'Gap data'!$C67)),"")</f>
        <v/>
      </c>
      <c r="G545" s="84"/>
      <c r="H545" s="86" t="s">
        <v>342</v>
      </c>
      <c r="I545" s="87" t="s">
        <v>343</v>
      </c>
      <c r="J545" s="29">
        <f t="shared" ref="J545:K545" si="118">E576</f>
        <v>0.60128840168051834</v>
      </c>
      <c r="K545" s="29">
        <f t="shared" si="118"/>
        <v>52.637645666543548</v>
      </c>
      <c r="M545" s="767">
        <f>IFERROR(WA!L18-E545,0)</f>
        <v>0</v>
      </c>
      <c r="N545" s="767">
        <f>IFERROR(WA!M18-F545,0)</f>
        <v>0</v>
      </c>
    </row>
    <row r="546" spans="1:14">
      <c r="A546" s="873"/>
      <c r="B546" s="1056"/>
      <c r="C546" s="83" t="s">
        <v>18</v>
      </c>
      <c r="D546" s="104" t="s">
        <v>90</v>
      </c>
      <c r="E546" s="275">
        <f>IFERROR(IF(WA!$E$3="Yes",WA!L19,WA!L19*(1-'Gap data'!$C68)),"")</f>
        <v>5.0611186566242748E-3</v>
      </c>
      <c r="F546" s="275">
        <f>IFERROR(IF(WA!$E$3="Yes",WA!M19,WA!M19*(1-'Gap data'!$C68)),"")</f>
        <v>3.5427830596369927E-3</v>
      </c>
      <c r="G546" s="84"/>
      <c r="H546" s="86" t="s">
        <v>344</v>
      </c>
      <c r="I546" s="87" t="s">
        <v>345</v>
      </c>
      <c r="J546" s="29">
        <f t="shared" ref="J546:K547" si="119">E565</f>
        <v>385.80530129044422</v>
      </c>
      <c r="K546" s="29">
        <f t="shared" si="119"/>
        <v>846.39746288393951</v>
      </c>
      <c r="M546" s="767">
        <f>IFERROR(WA!L19-E546,0)</f>
        <v>4.9388813433757254E-3</v>
      </c>
      <c r="N546" s="767">
        <f>IFERROR(WA!M19-F546,0)</f>
        <v>3.4572169403630074E-3</v>
      </c>
    </row>
    <row r="547" spans="1:14">
      <c r="A547" s="873"/>
      <c r="B547" s="1056"/>
      <c r="C547" s="83" t="s">
        <v>19</v>
      </c>
      <c r="D547" s="104" t="s">
        <v>141</v>
      </c>
      <c r="E547" s="275">
        <f>IFERROR(IF(WA!$E$3="Yes",WA!L20,WA!L20*(1-'Gap data'!$C69)),"")</f>
        <v>19.579999999999998</v>
      </c>
      <c r="F547" s="275">
        <f>IFERROR(IF(WA!$E$3="Yes",WA!M20,WA!M20*(1-'Gap data'!$C69)),"")</f>
        <v>0.24</v>
      </c>
      <c r="G547" s="84"/>
      <c r="H547" s="86" t="s">
        <v>346</v>
      </c>
      <c r="I547" s="87" t="s">
        <v>347</v>
      </c>
      <c r="J547" s="29">
        <f t="shared" si="119"/>
        <v>428.94001670097026</v>
      </c>
      <c r="K547" s="29">
        <f t="shared" si="119"/>
        <v>485.463118572756</v>
      </c>
      <c r="M547" s="767">
        <f>IFERROR(WA!L20-E547,0)</f>
        <v>0</v>
      </c>
      <c r="N547" s="767">
        <f>IFERROR(WA!M20-F547,0)</f>
        <v>0</v>
      </c>
    </row>
    <row r="548" spans="1:14">
      <c r="A548" s="873"/>
      <c r="B548" s="1056"/>
      <c r="C548" s="83" t="s">
        <v>142</v>
      </c>
      <c r="D548" s="104" t="s">
        <v>143</v>
      </c>
      <c r="E548" s="275" t="str">
        <f>IFERROR(IF(WA!$E$3="Yes",WA!L21,WA!L21*(1-'Gap data'!$C70)),"")</f>
        <v/>
      </c>
      <c r="F548" s="275" t="str">
        <f>IFERROR(IF(WA!$E$3="Yes",WA!M21,WA!M21*(1-'Gap data'!$C70)),"")</f>
        <v/>
      </c>
      <c r="G548" s="84"/>
      <c r="H548" s="86" t="s">
        <v>348</v>
      </c>
      <c r="I548" s="87" t="s">
        <v>349</v>
      </c>
      <c r="J548" s="29">
        <f t="shared" ref="J548:K548" si="120">E603</f>
        <v>137.01165226867863</v>
      </c>
      <c r="K548" s="29">
        <f t="shared" si="120"/>
        <v>89.351531831726717</v>
      </c>
      <c r="M548" s="767">
        <f>IFERROR(WA!L21-E548,0)</f>
        <v>0</v>
      </c>
      <c r="N548" s="767">
        <f>IFERROR(WA!M21-F548,0)</f>
        <v>0</v>
      </c>
    </row>
    <row r="549" spans="1:14">
      <c r="A549" s="873"/>
      <c r="B549" s="1056"/>
      <c r="C549" s="83" t="s">
        <v>20</v>
      </c>
      <c r="D549" s="104" t="s">
        <v>91</v>
      </c>
      <c r="E549" s="275">
        <f>IFERROR(IF(WA!$E$3="Yes",WA!L22,WA!L22*(1-'Gap data'!$C71)),"")</f>
        <v>9.3315225149101289E-2</v>
      </c>
      <c r="F549" s="275">
        <f>IFERROR(IF(WA!$E$3="Yes",WA!M22,WA!M22*(1-'Gap data'!$C71)),"")</f>
        <v>0.30873441512096278</v>
      </c>
      <c r="G549" s="84"/>
      <c r="H549" s="86" t="s">
        <v>350</v>
      </c>
      <c r="I549" s="87" t="s">
        <v>351</v>
      </c>
      <c r="J549" s="29" t="str">
        <f>IFERROR(E606+E561+E562,"")</f>
        <v/>
      </c>
      <c r="K549" s="29" t="str">
        <f>IFERROR(F606+F561+F562,"")</f>
        <v/>
      </c>
      <c r="M549" s="767">
        <f>IFERROR(WA!L22-E549,0)</f>
        <v>6.8477485089871171E-4</v>
      </c>
      <c r="N549" s="767">
        <f>IFERROR(WA!M22-F549,0)</f>
        <v>2.2655848790372191E-3</v>
      </c>
    </row>
    <row r="550" spans="1:14">
      <c r="A550" s="873"/>
      <c r="B550" s="1056"/>
      <c r="C550" s="83" t="s">
        <v>21</v>
      </c>
      <c r="D550" s="104" t="s">
        <v>144</v>
      </c>
      <c r="E550" s="275">
        <f>IFERROR(IF(WA!$E$3="Yes",WA!L23,WA!L23*(1-'Gap data'!$C72)),"")</f>
        <v>2.2499999999999996E-2</v>
      </c>
      <c r="F550" s="275">
        <f>IFERROR(IF(WA!$E$3="Yes",WA!M23,WA!M23*(1-'Gap data'!$C72)),"")</f>
        <v>3.7499999999999992E-2</v>
      </c>
      <c r="G550" s="84"/>
      <c r="H550" s="86" t="s">
        <v>352</v>
      </c>
      <c r="I550" s="87" t="s">
        <v>353</v>
      </c>
      <c r="J550" s="29">
        <f t="shared" ref="J550:K550" si="121">E604</f>
        <v>11.182801743534418</v>
      </c>
      <c r="K550" s="29">
        <f t="shared" si="121"/>
        <v>23.948066124618826</v>
      </c>
      <c r="M550" s="767">
        <f>IFERROR(WA!L23-E550,0)</f>
        <v>2.2500000000000003E-2</v>
      </c>
      <c r="N550" s="767">
        <f>IFERROR(WA!M23-F550,0)</f>
        <v>3.7500000000000006E-2</v>
      </c>
    </row>
    <row r="551" spans="1:14">
      <c r="A551" s="873"/>
      <c r="B551" s="1056"/>
      <c r="C551" s="83" t="s">
        <v>22</v>
      </c>
      <c r="D551" s="104" t="s">
        <v>92</v>
      </c>
      <c r="E551" s="275" t="str">
        <f>IFERROR(IF(WA!$E$3="Yes",WA!L24,WA!L24*(1-'Gap data'!$C73)),"")</f>
        <v/>
      </c>
      <c r="F551" s="275">
        <f>IFERROR(IF(WA!$E$3="Yes",WA!M24,WA!M24*(1-'Gap data'!$C73)),"")</f>
        <v>2.4984565385693474</v>
      </c>
      <c r="G551" s="84"/>
      <c r="H551" s="86" t="s">
        <v>354</v>
      </c>
      <c r="I551" s="87" t="s">
        <v>355</v>
      </c>
      <c r="J551" s="29">
        <f t="shared" ref="J551:K551" si="122">E535</f>
        <v>561.548</v>
      </c>
      <c r="K551" s="29">
        <f t="shared" si="122"/>
        <v>1373.7139999999999</v>
      </c>
      <c r="M551" s="767">
        <f>IFERROR(WA!L24-E551,0)</f>
        <v>0</v>
      </c>
      <c r="N551" s="767">
        <f>IFERROR(WA!M24-F551,0)</f>
        <v>0.20854346143065294</v>
      </c>
    </row>
    <row r="552" spans="1:14">
      <c r="A552" s="873"/>
      <c r="B552" s="1056"/>
      <c r="C552" s="83" t="s">
        <v>23</v>
      </c>
      <c r="D552" s="104" t="s">
        <v>93</v>
      </c>
      <c r="E552" s="275">
        <f>IFERROR(IF(WA!$E$3="Yes",WA!L25,WA!L25*(1-'Gap data'!$C74)),"")</f>
        <v>447.37517115388522</v>
      </c>
      <c r="F552" s="275">
        <f>IFERROR(IF(WA!$E$3="Yes",WA!M25,WA!M25*(1-'Gap data'!$C74)),"")</f>
        <v>588.62963490001562</v>
      </c>
      <c r="G552" s="84"/>
      <c r="H552" s="86" t="s">
        <v>356</v>
      </c>
      <c r="I552" s="87" t="s">
        <v>357</v>
      </c>
      <c r="J552" s="29">
        <f>IFERROR(E597+E594+E595,"")</f>
        <v>68262.781874430395</v>
      </c>
      <c r="K552" s="29">
        <f>IFERROR(F597+F594+F595,"")</f>
        <v>66503.615696593683</v>
      </c>
      <c r="M552" s="767">
        <f>IFERROR(WA!L25-E552,0)</f>
        <v>1.9178288461147872</v>
      </c>
      <c r="N552" s="767">
        <f>IFERROR(WA!M25-F552,0)</f>
        <v>2.5233650999844031</v>
      </c>
    </row>
    <row r="553" spans="1:14">
      <c r="A553" s="873"/>
      <c r="B553" s="1056"/>
      <c r="C553" s="83" t="s">
        <v>24</v>
      </c>
      <c r="D553" s="104" t="s">
        <v>94</v>
      </c>
      <c r="E553" s="275">
        <f>IFERROR(IF(WA!$E$3="Yes",WA!L26,WA!L26*(1-'Gap data'!$C75)),"")</f>
        <v>348.42499999999995</v>
      </c>
      <c r="F553" s="275">
        <f>IFERROR(IF(WA!$E$3="Yes",WA!M26,WA!M26*(1-'Gap data'!$C75)),"")</f>
        <v>321.53300000000002</v>
      </c>
      <c r="G553" s="760" t="s">
        <v>430</v>
      </c>
      <c r="H553" s="93"/>
      <c r="I553" s="94" t="s">
        <v>407</v>
      </c>
      <c r="J553" s="30"/>
      <c r="K553" s="31"/>
      <c r="M553" s="767">
        <f>IFERROR(WA!L26-E553,0)</f>
        <v>0</v>
      </c>
      <c r="N553" s="767">
        <f>IFERROR(WA!M26-F553,0)</f>
        <v>0</v>
      </c>
    </row>
    <row r="554" spans="1:14">
      <c r="A554" s="873"/>
      <c r="B554" s="1056"/>
      <c r="C554" s="83" t="s">
        <v>25</v>
      </c>
      <c r="D554" s="104" t="s">
        <v>145</v>
      </c>
      <c r="E554" s="275" t="str">
        <f>IFERROR(IF(WA!$E$3="Yes",WA!L27,WA!L27*(1-'Gap data'!$C76)),"")</f>
        <v/>
      </c>
      <c r="F554" s="275" t="str">
        <f>IFERROR(IF(WA!$E$3="Yes",WA!M27,WA!M27*(1-'Gap data'!$C76)),"")</f>
        <v/>
      </c>
      <c r="G554" s="84"/>
      <c r="H554" s="86" t="s">
        <v>358</v>
      </c>
      <c r="I554" s="87" t="s">
        <v>84</v>
      </c>
      <c r="J554" s="29">
        <f t="shared" ref="J554:K554" si="123">E540</f>
        <v>5.0090011065586024</v>
      </c>
      <c r="K554" s="29">
        <f t="shared" si="123"/>
        <v>9.3981258286728278E-2</v>
      </c>
      <c r="M554" s="767">
        <f>IFERROR(WA!L27-E554,0)</f>
        <v>0</v>
      </c>
      <c r="N554" s="767">
        <f>IFERROR(WA!M27-F554,0)</f>
        <v>0</v>
      </c>
    </row>
    <row r="555" spans="1:14">
      <c r="A555" s="873"/>
      <c r="B555" s="1056"/>
      <c r="C555" s="83" t="s">
        <v>146</v>
      </c>
      <c r="D555" s="104" t="s">
        <v>147</v>
      </c>
      <c r="E555" s="275" t="str">
        <f>IFERROR(IF(WA!$E$3="Yes",WA!L28,WA!L28*(1-'Gap data'!$C77)),"")</f>
        <v/>
      </c>
      <c r="F555" s="275" t="str">
        <f>IFERROR(IF(WA!$E$3="Yes",WA!M28,WA!M28*(1-'Gap data'!$C77)),"")</f>
        <v/>
      </c>
      <c r="G555" s="84"/>
      <c r="H555" s="86" t="s">
        <v>359</v>
      </c>
      <c r="I555" s="87" t="s">
        <v>90</v>
      </c>
      <c r="J555" s="29">
        <f t="shared" ref="J555:K555" si="124">E546</f>
        <v>5.0611186566242748E-3</v>
      </c>
      <c r="K555" s="29">
        <f t="shared" si="124"/>
        <v>3.5427830596369927E-3</v>
      </c>
      <c r="M555" s="767">
        <f>IFERROR(WA!L28-E555,0)</f>
        <v>0</v>
      </c>
      <c r="N555" s="767">
        <f>IFERROR(WA!M28-F555,0)</f>
        <v>0</v>
      </c>
    </row>
    <row r="556" spans="1:14">
      <c r="A556" s="873"/>
      <c r="B556" s="1056"/>
      <c r="C556" s="83" t="s">
        <v>148</v>
      </c>
      <c r="D556" s="104" t="s">
        <v>149</v>
      </c>
      <c r="E556" s="275">
        <f>IFERROR(IF(WA!$E$3="Yes",WA!L29,WA!L29*(1-'Gap data'!$C78)),"")</f>
        <v>85.4</v>
      </c>
      <c r="F556" s="275" t="str">
        <f>IFERROR(IF(WA!$E$3="Yes",WA!M29,WA!M29*(1-'Gap data'!$C78)),"")</f>
        <v/>
      </c>
      <c r="G556" s="84"/>
      <c r="H556" s="86" t="s">
        <v>360</v>
      </c>
      <c r="I556" s="87" t="s">
        <v>361</v>
      </c>
      <c r="J556" s="29" t="str">
        <f t="shared" ref="J556:K556" si="125">E544</f>
        <v/>
      </c>
      <c r="K556" s="29" t="str">
        <f t="shared" si="125"/>
        <v/>
      </c>
      <c r="M556" s="767">
        <f>IFERROR(WA!L29-E556,0)</f>
        <v>0</v>
      </c>
      <c r="N556" s="767">
        <f>IFERROR(WA!M29-F556,0)</f>
        <v>0</v>
      </c>
    </row>
    <row r="557" spans="1:14">
      <c r="A557" s="873"/>
      <c r="B557" s="1056"/>
      <c r="C557" s="83" t="s">
        <v>26</v>
      </c>
      <c r="D557" s="104" t="s">
        <v>150</v>
      </c>
      <c r="E557" s="275" t="str">
        <f>IFERROR(IF(WA!$E$3="Yes",WA!L30,WA!L30*(1-'Gap data'!$C79)),"")</f>
        <v/>
      </c>
      <c r="F557" s="275">
        <f>IFERROR(IF(WA!$E$3="Yes",WA!M30,WA!M30*(1-'Gap data'!$C79)),"")</f>
        <v>2.1175291375291376</v>
      </c>
      <c r="G557" s="84"/>
      <c r="H557" s="86" t="s">
        <v>362</v>
      </c>
      <c r="I557" s="87" t="s">
        <v>91</v>
      </c>
      <c r="J557" s="29">
        <f t="shared" ref="J557:K557" si="126">E549</f>
        <v>9.3315225149101289E-2</v>
      </c>
      <c r="K557" s="29">
        <f t="shared" si="126"/>
        <v>0.30873441512096278</v>
      </c>
      <c r="M557" s="767">
        <f>IFERROR(WA!L30-E557,0)</f>
        <v>0</v>
      </c>
      <c r="N557" s="767">
        <f>IFERROR(WA!M30-F557,0)</f>
        <v>2.4708624708624782E-3</v>
      </c>
    </row>
    <row r="558" spans="1:14">
      <c r="A558" s="873"/>
      <c r="B558" s="1056"/>
      <c r="C558" s="83" t="s">
        <v>27</v>
      </c>
      <c r="D558" s="104" t="s">
        <v>95</v>
      </c>
      <c r="E558" s="275">
        <f>IFERROR(IF(WA!$E$3="Yes",WA!L31,WA!L31*(1-'Gap data'!$C80)),"")</f>
        <v>5554.7724225135225</v>
      </c>
      <c r="F558" s="275">
        <f>IFERROR(IF(WA!$E$3="Yes",WA!M31,WA!M31*(1-'Gap data'!$C80)),"")</f>
        <v>4177.2899518733875</v>
      </c>
      <c r="G558" s="84"/>
      <c r="H558" s="86" t="s">
        <v>363</v>
      </c>
      <c r="I558" s="87" t="s">
        <v>94</v>
      </c>
      <c r="J558" s="29">
        <f t="shared" ref="J558:K558" si="127">E553</f>
        <v>348.42499999999995</v>
      </c>
      <c r="K558" s="29">
        <f t="shared" si="127"/>
        <v>321.53300000000002</v>
      </c>
      <c r="M558" s="767">
        <f>IFERROR(WA!L31-E558,0)</f>
        <v>6.476077486477152</v>
      </c>
      <c r="N558" s="767">
        <f>IFERROR(WA!M31-F558,0)</f>
        <v>4.8701281266121441</v>
      </c>
    </row>
    <row r="559" spans="1:14">
      <c r="A559" s="873"/>
      <c r="B559" s="1056"/>
      <c r="C559" s="83" t="s">
        <v>28</v>
      </c>
      <c r="D559" s="104" t="s">
        <v>96</v>
      </c>
      <c r="E559" s="275">
        <f>IFERROR(IF(WA!$E$3="Yes",WA!L32,WA!L32*(1-'Gap data'!$C81)),"")</f>
        <v>1.4315</v>
      </c>
      <c r="F559" s="275" t="str">
        <f>IFERROR(IF(WA!$E$3="Yes",WA!M32,WA!M32*(1-'Gap data'!$C81)),"")</f>
        <v/>
      </c>
      <c r="G559" s="84"/>
      <c r="H559" s="86" t="s">
        <v>364</v>
      </c>
      <c r="I559" s="87" t="s">
        <v>87</v>
      </c>
      <c r="J559" s="29">
        <f t="shared" ref="J559:K559" si="128">E543</f>
        <v>7.8484870428088414</v>
      </c>
      <c r="K559" s="29">
        <f t="shared" si="128"/>
        <v>5.2489881496492252</v>
      </c>
      <c r="M559" s="767">
        <f>IFERROR(WA!L32-E559,0)</f>
        <v>0</v>
      </c>
      <c r="N559" s="767">
        <f>IFERROR(WA!M32-F559,0)</f>
        <v>0</v>
      </c>
    </row>
    <row r="560" spans="1:14">
      <c r="A560" s="873"/>
      <c r="B560" s="1056"/>
      <c r="C560" s="83" t="s">
        <v>29</v>
      </c>
      <c r="D560" s="104" t="s">
        <v>97</v>
      </c>
      <c r="E560" s="275">
        <f>IFERROR(IF(WA!$E$3="Yes",WA!L33,WA!L33*(1-'Gap data'!$C82)),"")</f>
        <v>26.983998088873157</v>
      </c>
      <c r="F560" s="275">
        <f>IFERROR(IF(WA!$E$3="Yes",WA!M33,WA!M33*(1-'Gap data'!$C82)),"")</f>
        <v>17.398840498619901</v>
      </c>
      <c r="G560" s="84"/>
      <c r="H560" s="86" t="s">
        <v>365</v>
      </c>
      <c r="I560" s="87" t="s">
        <v>145</v>
      </c>
      <c r="J560" s="29" t="str">
        <f t="shared" ref="J560:K560" si="129">E554</f>
        <v/>
      </c>
      <c r="K560" s="29" t="str">
        <f t="shared" si="129"/>
        <v/>
      </c>
      <c r="M560" s="767">
        <f>IFERROR(WA!L33-E560,0)</f>
        <v>8.0019111268434528E-3</v>
      </c>
      <c r="N560" s="767">
        <f>IFERROR(WA!M33-F560,0)</f>
        <v>5.1595013800991296E-3</v>
      </c>
    </row>
    <row r="561" spans="1:14">
      <c r="A561" s="873"/>
      <c r="B561" s="1056"/>
      <c r="C561" s="83" t="s">
        <v>99</v>
      </c>
      <c r="D561" s="104" t="s">
        <v>98</v>
      </c>
      <c r="E561" s="275">
        <f>IFERROR(IF(WA!$E$3="Yes",WA!L34,WA!L34*(1-'Gap data'!$C83)),"")</f>
        <v>5.4382593856655292</v>
      </c>
      <c r="F561" s="275">
        <f>IFERROR(IF(WA!$E$3="Yes",WA!M34,WA!M34*(1-'Gap data'!$C83)),"")</f>
        <v>0.9463139931740614</v>
      </c>
      <c r="G561" s="84"/>
      <c r="H561" s="86" t="s">
        <v>366</v>
      </c>
      <c r="I561" s="87" t="s">
        <v>89</v>
      </c>
      <c r="J561" s="29" t="str">
        <f t="shared" ref="J561:K561" si="130">E545</f>
        <v/>
      </c>
      <c r="K561" s="29" t="str">
        <f t="shared" si="130"/>
        <v/>
      </c>
      <c r="M561" s="767">
        <f>IFERROR(WA!L34-E561,0)</f>
        <v>1.256740614334471</v>
      </c>
      <c r="N561" s="767">
        <f>IFERROR(WA!M34-F561,0)</f>
        <v>0.21868600682593864</v>
      </c>
    </row>
    <row r="562" spans="1:14">
      <c r="A562" s="873"/>
      <c r="B562" s="1056"/>
      <c r="C562" s="83" t="s">
        <v>101</v>
      </c>
      <c r="D562" s="104" t="s">
        <v>100</v>
      </c>
      <c r="E562" s="275">
        <f>IFERROR(IF(WA!$E$3="Yes",WA!L35,WA!L35*(1-'Gap data'!$C84)),"")</f>
        <v>1.6143015839435857</v>
      </c>
      <c r="F562" s="275">
        <f>IFERROR(IF(WA!$E$3="Yes",WA!M35,WA!M35*(1-'Gap data'!$C84)),"")</f>
        <v>3.8819498094300031</v>
      </c>
      <c r="G562" s="84"/>
      <c r="H562" s="86" t="s">
        <v>367</v>
      </c>
      <c r="I562" s="87" t="s">
        <v>141</v>
      </c>
      <c r="J562" s="29">
        <f t="shared" ref="J562:K562" si="131">E547</f>
        <v>19.579999999999998</v>
      </c>
      <c r="K562" s="29">
        <f t="shared" si="131"/>
        <v>0.24</v>
      </c>
      <c r="M562" s="767">
        <f>IFERROR(WA!L35-E562,0)</f>
        <v>1.2684160564142566E-3</v>
      </c>
      <c r="N562" s="767">
        <f>IFERROR(WA!M35-F562,0)</f>
        <v>3.0501905699966692E-3</v>
      </c>
    </row>
    <row r="563" spans="1:14">
      <c r="A563" s="874"/>
      <c r="B563" s="1057"/>
      <c r="C563" s="83" t="s">
        <v>30</v>
      </c>
      <c r="D563" s="104" t="s">
        <v>151</v>
      </c>
      <c r="E563" s="275">
        <f>IFERROR(IF(WA!$E$3="Yes",WA!L36,WA!L36*(1-'Gap data'!$C85)),"")</f>
        <v>186.30501099410262</v>
      </c>
      <c r="F563" s="275">
        <f>IFERROR(IF(WA!$E$3="Yes",WA!M36,WA!M36*(1-'Gap data'!$C85)),"")</f>
        <v>7.263922449833669</v>
      </c>
      <c r="G563" s="84"/>
      <c r="H563" s="86" t="s">
        <v>368</v>
      </c>
      <c r="I563" s="87" t="s">
        <v>147</v>
      </c>
      <c r="J563" s="29" t="str">
        <f t="shared" ref="J563:K563" si="132">E555</f>
        <v/>
      </c>
      <c r="K563" s="29" t="str">
        <f t="shared" si="132"/>
        <v/>
      </c>
      <c r="M563" s="767">
        <f>IFERROR(WA!L36-E563,0)</f>
        <v>1.9890058973999203E-3</v>
      </c>
      <c r="N563" s="767">
        <f>IFERROR(WA!M36-F563,0)</f>
        <v>7.7550166331263881E-5</v>
      </c>
    </row>
    <row r="564" spans="1:14">
      <c r="A564" s="90" t="s">
        <v>31</v>
      </c>
      <c r="B564" s="764" t="s">
        <v>32</v>
      </c>
      <c r="C564" s="83" t="s">
        <v>33</v>
      </c>
      <c r="D564" s="104" t="s">
        <v>102</v>
      </c>
      <c r="E564" s="275" t="str">
        <f>IFERROR(IF(WA!$E$3="Yes",WA!L37,WA!L37*(1-'Gap data'!$C86)),"")</f>
        <v/>
      </c>
      <c r="F564" s="275">
        <f>IFERROR(IF(WA!$E$3="Yes",WA!M37,WA!M37*(1-'Gap data'!$C86)),"")</f>
        <v>1.1841533502717547</v>
      </c>
      <c r="G564" s="84"/>
      <c r="H564" s="86" t="s">
        <v>369</v>
      </c>
      <c r="I564" s="87" t="s">
        <v>86</v>
      </c>
      <c r="J564" s="29">
        <f t="shared" ref="J564:K564" si="133">E542</f>
        <v>35.195376596388023</v>
      </c>
      <c r="K564" s="29">
        <f t="shared" si="133"/>
        <v>85.953241622914334</v>
      </c>
      <c r="M564" s="767">
        <f>IFERROR(WA!L37-E564,0)</f>
        <v>0</v>
      </c>
      <c r="N564" s="767">
        <f>IFERROR(WA!M37-F564,0)</f>
        <v>2.9846649728245245E-2</v>
      </c>
    </row>
    <row r="565" spans="1:14">
      <c r="A565" s="872" t="s">
        <v>34</v>
      </c>
      <c r="B565" s="1055" t="s">
        <v>152</v>
      </c>
      <c r="C565" s="83" t="s">
        <v>35</v>
      </c>
      <c r="D565" s="104" t="s">
        <v>103</v>
      </c>
      <c r="E565" s="275">
        <f>IFERROR(IF(WA!$E$3="Yes",WA!L38,WA!L38*(1-'Gap data'!$C87)),"")</f>
        <v>385.80530129044422</v>
      </c>
      <c r="F565" s="275">
        <f>IFERROR(IF(WA!$E$3="Yes",WA!M38,WA!M38*(1-'Gap data'!$C87)),"")</f>
        <v>846.39746288393951</v>
      </c>
      <c r="G565" s="84"/>
      <c r="H565" s="86" t="s">
        <v>370</v>
      </c>
      <c r="I565" s="87" t="s">
        <v>143</v>
      </c>
      <c r="J565" s="29" t="str">
        <f t="shared" ref="J565:K565" si="134">E548</f>
        <v/>
      </c>
      <c r="K565" s="29" t="str">
        <f t="shared" si="134"/>
        <v/>
      </c>
      <c r="M565" s="767">
        <f>IFERROR(WA!L38-E565,0)</f>
        <v>186.37019870955572</v>
      </c>
      <c r="N565" s="767">
        <f>IFERROR(WA!M38-F565,0)</f>
        <v>408.86753711606059</v>
      </c>
    </row>
    <row r="566" spans="1:14">
      <c r="A566" s="874"/>
      <c r="B566" s="1057"/>
      <c r="C566" s="83" t="s">
        <v>105</v>
      </c>
      <c r="D566" s="104" t="s">
        <v>104</v>
      </c>
      <c r="E566" s="275">
        <f>IFERROR(IF(WA!$E$3="Yes",WA!L39,WA!L39*(1-'Gap data'!$C88)),"")</f>
        <v>428.94001670097026</v>
      </c>
      <c r="F566" s="275">
        <f>IFERROR(IF(WA!$E$3="Yes",WA!M39,WA!M39*(1-'Gap data'!$C88)),"")</f>
        <v>485.463118572756</v>
      </c>
      <c r="G566" s="84"/>
      <c r="H566" s="86" t="s">
        <v>371</v>
      </c>
      <c r="I566" s="87" t="s">
        <v>93</v>
      </c>
      <c r="J566" s="29">
        <f t="shared" ref="J566:K566" si="135">E552</f>
        <v>447.37517115388522</v>
      </c>
      <c r="K566" s="29">
        <f t="shared" si="135"/>
        <v>588.62963490001562</v>
      </c>
      <c r="M566" s="767">
        <f>IFERROR(WA!L39-E566,0)</f>
        <v>8.3083832990297992</v>
      </c>
      <c r="N566" s="767">
        <f>IFERROR(WA!M39-F566,0)</f>
        <v>9.4032114272440026</v>
      </c>
    </row>
    <row r="567" spans="1:14">
      <c r="A567" s="872" t="s">
        <v>37</v>
      </c>
      <c r="B567" s="1055" t="s">
        <v>153</v>
      </c>
      <c r="C567" s="83" t="s">
        <v>38</v>
      </c>
      <c r="D567" s="104" t="s">
        <v>106</v>
      </c>
      <c r="E567" s="275">
        <f>IFERROR(IF(WA!$E$3="Yes",WA!L40,WA!L40*(1-'Gap data'!$C89)),"")</f>
        <v>40.618088194148051</v>
      </c>
      <c r="F567" s="275">
        <f>IFERROR(IF(WA!$E$3="Yes",WA!M40,WA!M40*(1-'Gap data'!$C89)),"")</f>
        <v>75.287011655516082</v>
      </c>
      <c r="G567" s="84"/>
      <c r="H567" s="86" t="s">
        <v>372</v>
      </c>
      <c r="I567" s="87" t="s">
        <v>85</v>
      </c>
      <c r="J567" s="29">
        <f t="shared" ref="J567:K567" si="136">E541</f>
        <v>8.2139093909390937</v>
      </c>
      <c r="K567" s="29">
        <f t="shared" si="136"/>
        <v>10.785692319231924</v>
      </c>
      <c r="M567" s="767">
        <f>IFERROR(WA!L40-E567,0)</f>
        <v>19.948911805851949</v>
      </c>
      <c r="N567" s="767">
        <f>IFERROR(WA!M40-F567,0)</f>
        <v>36.975988344483923</v>
      </c>
    </row>
    <row r="568" spans="1:14">
      <c r="A568" s="873"/>
      <c r="B568" s="1056"/>
      <c r="C568" s="83" t="s">
        <v>39</v>
      </c>
      <c r="D568" s="104" t="s">
        <v>107</v>
      </c>
      <c r="E568" s="275">
        <f>IFERROR(IF(WA!$E$3="Yes",WA!L41,WA!L41*(1-'Gap data'!$C90)),"")</f>
        <v>1937.5191224459843</v>
      </c>
      <c r="F568" s="275">
        <f>IFERROR(IF(WA!$E$3="Yes",WA!M41,WA!M41*(1-'Gap data'!$C90)),"")</f>
        <v>1806.687233092933</v>
      </c>
      <c r="G568" s="84"/>
      <c r="H568" s="86" t="s">
        <v>373</v>
      </c>
      <c r="I568" s="87" t="s">
        <v>374</v>
      </c>
      <c r="J568" s="29">
        <f t="shared" ref="J568:K570" si="137">E537</f>
        <v>15.63574115968453</v>
      </c>
      <c r="K568" s="29">
        <f t="shared" si="137"/>
        <v>13.002373907622022</v>
      </c>
      <c r="M568" s="767">
        <f>IFERROR(WA!L41-E568,0)</f>
        <v>618.47937755401585</v>
      </c>
      <c r="N568" s="767">
        <f>IFERROR(WA!M41-F568,0)</f>
        <v>576.71626690706694</v>
      </c>
    </row>
    <row r="569" spans="1:14">
      <c r="A569" s="873"/>
      <c r="B569" s="1056"/>
      <c r="C569" s="83" t="s">
        <v>40</v>
      </c>
      <c r="D569" s="104" t="s">
        <v>108</v>
      </c>
      <c r="E569" s="275" t="str">
        <f>IFERROR(IF(WA!$E$3="Yes",WA!L42,WA!L42*(1-'Gap data'!$C91)),"")</f>
        <v/>
      </c>
      <c r="F569" s="275">
        <f>IFERROR(IF(WA!$E$3="Yes",WA!M42,WA!M42*(1-'Gap data'!$C91)),"")</f>
        <v>17.286539203972715</v>
      </c>
      <c r="G569" s="84"/>
      <c r="H569" s="86" t="s">
        <v>375</v>
      </c>
      <c r="I569" s="87" t="s">
        <v>82</v>
      </c>
      <c r="J569" s="29">
        <f t="shared" si="137"/>
        <v>1083.0454133492563</v>
      </c>
      <c r="K569" s="29">
        <f t="shared" si="137"/>
        <v>567.73141105119953</v>
      </c>
      <c r="M569" s="767">
        <f>IFERROR(WA!L42-E569,0)</f>
        <v>0</v>
      </c>
      <c r="N569" s="767">
        <f>IFERROR(WA!M42-F569,0)</f>
        <v>0.72846079602728508</v>
      </c>
    </row>
    <row r="570" spans="1:14">
      <c r="A570" s="874"/>
      <c r="B570" s="1057"/>
      <c r="C570" s="83" t="s">
        <v>41</v>
      </c>
      <c r="D570" s="104" t="s">
        <v>109</v>
      </c>
      <c r="E570" s="275">
        <f>IFERROR(IF(WA!$E$3="Yes",WA!L43,WA!L43*(1-'Gap data'!$C92)),"")</f>
        <v>1.2210824437102532</v>
      </c>
      <c r="F570" s="275">
        <f>IFERROR(IF(WA!$E$3="Yes",WA!M43,WA!M43*(1-'Gap data'!$C92)),"")</f>
        <v>22.430703023127013</v>
      </c>
      <c r="G570" s="84"/>
      <c r="H570" s="86" t="s">
        <v>376</v>
      </c>
      <c r="I570" s="87" t="s">
        <v>83</v>
      </c>
      <c r="J570" s="29">
        <f t="shared" si="137"/>
        <v>45359.983278456399</v>
      </c>
      <c r="K570" s="29">
        <f t="shared" si="137"/>
        <v>42593.530264757275</v>
      </c>
      <c r="M570" s="767">
        <f>IFERROR(WA!L43-E570,0)</f>
        <v>0.87891755628974644</v>
      </c>
      <c r="N570" s="767">
        <f>IFERROR(WA!M43-F570,0)</f>
        <v>16.145296976872981</v>
      </c>
    </row>
    <row r="571" spans="1:14">
      <c r="A571" s="872" t="s">
        <v>42</v>
      </c>
      <c r="B571" s="1055" t="s">
        <v>154</v>
      </c>
      <c r="C571" s="83" t="s">
        <v>43</v>
      </c>
      <c r="D571" s="104" t="s">
        <v>110</v>
      </c>
      <c r="E571" s="275" t="str">
        <f>IFERROR(IF(WA!$E$3="Yes",WA!L44,WA!L44*(1-'Gap data'!$C93)),"")</f>
        <v/>
      </c>
      <c r="F571" s="275">
        <f>IFERROR(IF(WA!$E$3="Yes",WA!M44,WA!M44*(1-'Gap data'!$C93)),"")</f>
        <v>909.03395376190417</v>
      </c>
      <c r="G571" s="84"/>
      <c r="H571" s="86" t="s">
        <v>377</v>
      </c>
      <c r="I571" s="87" t="s">
        <v>378</v>
      </c>
      <c r="J571" s="88">
        <f>E598</f>
        <v>19660.785372443082</v>
      </c>
      <c r="K571" s="88">
        <f>F598</f>
        <v>19795.957295081407</v>
      </c>
      <c r="M571" s="767">
        <f>IFERROR(WA!L44-E571,0)</f>
        <v>0</v>
      </c>
      <c r="N571" s="767">
        <f>IFERROR(WA!M44-F571,0)</f>
        <v>1.0620462380958315</v>
      </c>
    </row>
    <row r="572" spans="1:14">
      <c r="A572" s="873"/>
      <c r="B572" s="1056"/>
      <c r="C572" s="83" t="s">
        <v>44</v>
      </c>
      <c r="D572" s="104" t="s">
        <v>111</v>
      </c>
      <c r="E572" s="275">
        <f>IFERROR(IF(WA!$E$3="Yes",WA!L45,WA!L45*(1-'Gap data'!$C94)),"")</f>
        <v>338.98411978388845</v>
      </c>
      <c r="F572" s="275">
        <f>IFERROR(IF(WA!$E$3="Yes",WA!M45,WA!M45*(1-'Gap data'!$C94)),"")</f>
        <v>155.58367056961723</v>
      </c>
      <c r="G572" s="760" t="str">
        <f>G553</f>
        <v>WA</v>
      </c>
      <c r="H572" s="86" t="s">
        <v>379</v>
      </c>
      <c r="I572" s="87" t="s">
        <v>176</v>
      </c>
      <c r="J572" s="29">
        <f t="shared" ref="J572:K572" si="138">E572</f>
        <v>338.98411978388845</v>
      </c>
      <c r="K572" s="29">
        <f t="shared" si="138"/>
        <v>155.58367056961723</v>
      </c>
      <c r="M572" s="767">
        <f>IFERROR(WA!L45-E572,0)</f>
        <v>0.37438021611154682</v>
      </c>
      <c r="N572" s="767">
        <f>IFERROR(WA!M45-F572,0)</f>
        <v>0.17182943038278609</v>
      </c>
    </row>
    <row r="573" spans="1:14">
      <c r="A573" s="874"/>
      <c r="B573" s="1057"/>
      <c r="C573" s="83" t="s">
        <v>45</v>
      </c>
      <c r="D573" s="104" t="s">
        <v>155</v>
      </c>
      <c r="E573" s="275">
        <f>IFERROR(IF(WA!$E$3="Yes",WA!L46,WA!L46*(1-'Gap data'!$C95)),"")</f>
        <v>20.472000000000001</v>
      </c>
      <c r="F573" s="275">
        <f>IFERROR(IF(WA!$E$3="Yes",WA!M46,WA!M46*(1-'Gap data'!$C95)),"")</f>
        <v>18.350000000000001</v>
      </c>
      <c r="G573" s="84"/>
      <c r="H573" s="86" t="s">
        <v>380</v>
      </c>
      <c r="I573" s="87" t="s">
        <v>381</v>
      </c>
      <c r="J573" s="29" t="str">
        <f t="shared" ref="J573:K573" si="139">E586</f>
        <v/>
      </c>
      <c r="K573" s="29">
        <f t="shared" si="139"/>
        <v>26.085000000000001</v>
      </c>
      <c r="M573" s="767">
        <f>IFERROR(WA!L46-E573,0)</f>
        <v>0</v>
      </c>
      <c r="N573" s="767">
        <f>IFERROR(WA!M46-F573,0)</f>
        <v>0</v>
      </c>
    </row>
    <row r="574" spans="1:14">
      <c r="A574" s="872" t="s">
        <v>46</v>
      </c>
      <c r="B574" s="1055" t="s">
        <v>156</v>
      </c>
      <c r="C574" s="83" t="s">
        <v>47</v>
      </c>
      <c r="D574" s="104" t="s">
        <v>112</v>
      </c>
      <c r="E574" s="275">
        <f>IFERROR(IF(WA!$E$3="Yes",WA!L47,WA!L47*(1-'Gap data'!$C96)),"")</f>
        <v>30452.377012350902</v>
      </c>
      <c r="F574" s="275">
        <f>IFERROR(IF(WA!$E$3="Yes",WA!M47,WA!M47*(1-'Gap data'!$C96)),"")</f>
        <v>29804.101454788673</v>
      </c>
      <c r="G574" s="84"/>
      <c r="H574" s="86" t="s">
        <v>382</v>
      </c>
      <c r="I574" s="87" t="s">
        <v>383</v>
      </c>
      <c r="J574" s="29">
        <f t="shared" ref="J574:K574" si="140">E582</f>
        <v>0.21293927631911863</v>
      </c>
      <c r="K574" s="29">
        <f t="shared" si="140"/>
        <v>19.700042158641331</v>
      </c>
      <c r="M574" s="767">
        <f>IFERROR(WA!L47-E574,0)</f>
        <v>21819.766767649104</v>
      </c>
      <c r="N574" s="767">
        <f>IFERROR(WA!M47-F574,0)</f>
        <v>21355.263735211323</v>
      </c>
    </row>
    <row r="575" spans="1:14">
      <c r="A575" s="873"/>
      <c r="B575" s="1056"/>
      <c r="C575" s="83" t="s">
        <v>48</v>
      </c>
      <c r="D575" s="104" t="s">
        <v>157</v>
      </c>
      <c r="E575" s="275">
        <f>IFERROR(IF(WA!$E$3="Yes",WA!L48,WA!L48*(1-'Gap data'!$C97)),"")</f>
        <v>27335.72598538694</v>
      </c>
      <c r="F575" s="275">
        <f>IFERROR(IF(WA!$E$3="Yes",WA!M48,WA!M48*(1-'Gap data'!$C97)),"")</f>
        <v>21946.018845031365</v>
      </c>
      <c r="G575" s="84"/>
      <c r="H575" s="86" t="s">
        <v>384</v>
      </c>
      <c r="I575" s="87" t="s">
        <v>106</v>
      </c>
      <c r="J575" s="29">
        <f t="shared" ref="J575:K575" si="141">E567</f>
        <v>40.618088194148051</v>
      </c>
      <c r="K575" s="29">
        <f t="shared" si="141"/>
        <v>75.287011655516082</v>
      </c>
      <c r="M575" s="767">
        <f>IFERROR(WA!L48-E575,0)</f>
        <v>2510.3846346130595</v>
      </c>
      <c r="N575" s="767">
        <f>IFERROR(WA!M48-F575,0)</f>
        <v>2015.4192549686377</v>
      </c>
    </row>
    <row r="576" spans="1:14">
      <c r="A576" s="874"/>
      <c r="B576" s="1057"/>
      <c r="C576" s="83" t="s">
        <v>49</v>
      </c>
      <c r="D576" s="104" t="s">
        <v>158</v>
      </c>
      <c r="E576" s="275">
        <f>IFERROR(IF(WA!$E$3="Yes",WA!L49,WA!L49*(1-'Gap data'!$C98)),"")</f>
        <v>0.60128840168051834</v>
      </c>
      <c r="F576" s="275">
        <f>IFERROR(IF(WA!$E$3="Yes",WA!M49,WA!M49*(1-'Gap data'!$C98)),"")</f>
        <v>52.637645666543548</v>
      </c>
      <c r="G576" s="84"/>
      <c r="H576" s="86" t="s">
        <v>385</v>
      </c>
      <c r="I576" s="87" t="s">
        <v>108</v>
      </c>
      <c r="J576" s="29" t="str">
        <f t="shared" ref="J576:K576" si="142">E569</f>
        <v/>
      </c>
      <c r="K576" s="29">
        <f t="shared" si="142"/>
        <v>17.286539203972715</v>
      </c>
      <c r="M576" s="767">
        <f>IFERROR(WA!L49-E576,0)</f>
        <v>9.8711598319481619E-2</v>
      </c>
      <c r="N576" s="767">
        <f>IFERROR(WA!M49-F576,0)</f>
        <v>8.641354333456448</v>
      </c>
    </row>
    <row r="577" spans="1:14">
      <c r="A577" s="872" t="s">
        <v>50</v>
      </c>
      <c r="B577" s="1055" t="s">
        <v>159</v>
      </c>
      <c r="C577" s="83" t="s">
        <v>51</v>
      </c>
      <c r="D577" s="104" t="s">
        <v>113</v>
      </c>
      <c r="E577" s="275">
        <f>IFERROR(IF(WA!$E$3="Yes",WA!L50,WA!L50*(1-'Gap data'!$C99)),"")</f>
        <v>6559.510462574759</v>
      </c>
      <c r="F577" s="275">
        <f>IFERROR(IF(WA!$E$3="Yes",WA!M50,WA!M50*(1-'Gap data'!$C99)),"")</f>
        <v>17744.647133312239</v>
      </c>
      <c r="G577" s="84"/>
      <c r="H577" s="86" t="s">
        <v>386</v>
      </c>
      <c r="I577" s="87" t="s">
        <v>107</v>
      </c>
      <c r="J577" s="29">
        <f t="shared" ref="J577:K577" si="143">E568</f>
        <v>1937.5191224459843</v>
      </c>
      <c r="K577" s="29">
        <f t="shared" si="143"/>
        <v>1806.687233092933</v>
      </c>
      <c r="M577" s="767">
        <f>IFERROR(WA!L50-E577,0)</f>
        <v>2701.6175374252416</v>
      </c>
      <c r="N577" s="767">
        <f>IFERROR(WA!M50-F577,0)</f>
        <v>7308.3578666877584</v>
      </c>
    </row>
    <row r="578" spans="1:14">
      <c r="A578" s="873"/>
      <c r="B578" s="1056"/>
      <c r="C578" s="83" t="s">
        <v>115</v>
      </c>
      <c r="D578" s="104" t="s">
        <v>114</v>
      </c>
      <c r="E578" s="275">
        <f>IFERROR(IF(WA!$E$3="Yes",WA!L51,WA!L51*(1-'Gap data'!$C100)),"")</f>
        <v>36302.806922345895</v>
      </c>
      <c r="F578" s="275">
        <f>IFERROR(IF(WA!$E$3="Yes",WA!M51,WA!M51*(1-'Gap data'!$C100)),"")</f>
        <v>42473.84150686155</v>
      </c>
      <c r="G578" s="84"/>
      <c r="H578" s="86" t="s">
        <v>387</v>
      </c>
      <c r="I578" s="87" t="s">
        <v>388</v>
      </c>
      <c r="J578" s="520"/>
      <c r="K578" s="520"/>
      <c r="M578" s="767">
        <f>IFERROR(WA!L51-E578,0)</f>
        <v>645.72851765409723</v>
      </c>
      <c r="N578" s="767">
        <f>IFERROR(WA!M51-F578,0)</f>
        <v>755.49449313845253</v>
      </c>
    </row>
    <row r="579" spans="1:14">
      <c r="A579" s="873"/>
      <c r="B579" s="1056"/>
      <c r="C579" s="83" t="s">
        <v>52</v>
      </c>
      <c r="D579" s="104" t="s">
        <v>116</v>
      </c>
      <c r="E579" s="275" t="str">
        <f>IFERROR(IF(WA!$E$3="Yes",WA!L52,WA!L52*(1-'Gap data'!$C101)),"")</f>
        <v/>
      </c>
      <c r="F579" s="275">
        <f>IFERROR(IF(WA!$E$3="Yes",WA!M52,WA!M52*(1-'Gap data'!$C101)),"")</f>
        <v>16.244403997952322</v>
      </c>
      <c r="G579" s="84"/>
      <c r="H579" s="86" t="s">
        <v>389</v>
      </c>
      <c r="I579" s="87" t="s">
        <v>390</v>
      </c>
      <c r="J579" s="520"/>
      <c r="K579" s="520"/>
      <c r="M579" s="767">
        <f>IFERROR(WA!L52-E579,0)</f>
        <v>0</v>
      </c>
      <c r="N579" s="767">
        <f>IFERROR(WA!M52-F579,0)</f>
        <v>5.5596002047678894E-2</v>
      </c>
    </row>
    <row r="580" spans="1:14">
      <c r="A580" s="874"/>
      <c r="B580" s="1057"/>
      <c r="C580" s="83" t="s">
        <v>118</v>
      </c>
      <c r="D580" s="104" t="s">
        <v>117</v>
      </c>
      <c r="E580" s="275" t="str">
        <f>IFERROR(IF(WA!$E$3="Yes",WA!L53,WA!L53*(1-'Gap data'!$C102)),"")</f>
        <v/>
      </c>
      <c r="F580" s="275" t="str">
        <f>IFERROR(IF(WA!$E$3="Yes",WA!M53,WA!M53*(1-'Gap data'!$C102)),"")</f>
        <v/>
      </c>
      <c r="G580" s="84"/>
      <c r="H580" s="86" t="s">
        <v>391</v>
      </c>
      <c r="I580" s="87" t="s">
        <v>392</v>
      </c>
      <c r="J580" s="29" t="str">
        <f t="shared" ref="J580:K580" si="144">E583</f>
        <v/>
      </c>
      <c r="K580" s="29">
        <f t="shared" si="144"/>
        <v>1.6864608503709064</v>
      </c>
      <c r="M580" s="767">
        <f>IFERROR(WA!L53-E580,0)</f>
        <v>0</v>
      </c>
      <c r="N580" s="767">
        <f>IFERROR(WA!M53-F580,0)</f>
        <v>0</v>
      </c>
    </row>
    <row r="581" spans="1:14">
      <c r="A581" s="872" t="s">
        <v>53</v>
      </c>
      <c r="B581" s="1055" t="s">
        <v>54</v>
      </c>
      <c r="C581" s="83" t="s">
        <v>55</v>
      </c>
      <c r="D581" s="765" t="s">
        <v>160</v>
      </c>
      <c r="E581" s="275" t="str">
        <f>IFERROR(IF(WA!$E$3="Yes",WA!L54,WA!L54*(1-'Gap data'!$C103)),"")</f>
        <v/>
      </c>
      <c r="F581" s="275">
        <f>IFERROR(IF(WA!$E$3="Yes",WA!M54,WA!M54*(1-'Gap data'!$C103)),"")</f>
        <v>23.106597163455017</v>
      </c>
      <c r="G581" s="84"/>
      <c r="H581" s="93"/>
      <c r="I581" s="101" t="s">
        <v>405</v>
      </c>
      <c r="J581" s="30"/>
      <c r="K581" s="31"/>
      <c r="M581" s="767">
        <f>IFERROR(WA!L54-E581,0)</f>
        <v>0</v>
      </c>
      <c r="N581" s="767">
        <f>IFERROR(WA!M54-F581,0)</f>
        <v>0.59090283654498421</v>
      </c>
    </row>
    <row r="582" spans="1:14">
      <c r="A582" s="873"/>
      <c r="B582" s="1056"/>
      <c r="C582" s="83" t="s">
        <v>56</v>
      </c>
      <c r="D582" s="104" t="s">
        <v>161</v>
      </c>
      <c r="E582" s="275">
        <f>IFERROR(IF(WA!$E$3="Yes",WA!L55,WA!L55*(1-'Gap data'!$C104)),"")</f>
        <v>0.21293927631911863</v>
      </c>
      <c r="F582" s="275">
        <f>IFERROR(IF(WA!$E$3="Yes",WA!M55,WA!M55*(1-'Gap data'!$C104)),"")</f>
        <v>19.700042158641331</v>
      </c>
      <c r="G582" s="84"/>
      <c r="H582" s="86" t="s">
        <v>393</v>
      </c>
      <c r="I582" s="87" t="s">
        <v>394</v>
      </c>
      <c r="J582" s="99">
        <f>'Gap data'!$B$23*'Gap data'!I12</f>
        <v>740478.81711937953</v>
      </c>
      <c r="K582" s="99">
        <f>'Gap data'!$B$23*'Gap data'!I13</f>
        <v>745569.76051186828</v>
      </c>
      <c r="M582" s="767">
        <f>IFERROR(WA!L55-E582,0)</f>
        <v>6.0723680881363817E-5</v>
      </c>
      <c r="N582" s="767">
        <f>IFERROR(WA!M55-F582,0)</f>
        <v>5.6178413586707165E-3</v>
      </c>
    </row>
    <row r="583" spans="1:14">
      <c r="A583" s="873"/>
      <c r="B583" s="1056"/>
      <c r="C583" s="83" t="s">
        <v>57</v>
      </c>
      <c r="D583" s="104" t="s">
        <v>162</v>
      </c>
      <c r="E583" s="275" t="str">
        <f>IFERROR(IF(WA!$E$3="Yes",WA!L56,WA!L56*(1-'Gap data'!$C105)),"")</f>
        <v/>
      </c>
      <c r="F583" s="275">
        <f>IFERROR(IF(WA!$E$3="Yes",WA!M56,WA!M56*(1-'Gap data'!$C105)),"")</f>
        <v>1.6864608503709064</v>
      </c>
      <c r="G583" s="84"/>
      <c r="H583" s="86" t="s">
        <v>395</v>
      </c>
      <c r="I583" s="87" t="s">
        <v>396</v>
      </c>
      <c r="J583" s="762">
        <v>0</v>
      </c>
      <c r="K583" s="762">
        <v>0</v>
      </c>
      <c r="M583" s="767">
        <f>IFERROR(WA!L56-E583,0)</f>
        <v>0</v>
      </c>
      <c r="N583" s="767">
        <f>IFERROR(WA!M56-F583,0)</f>
        <v>1.1539149629093526E-2</v>
      </c>
    </row>
    <row r="584" spans="1:14">
      <c r="A584" s="873"/>
      <c r="B584" s="1056"/>
      <c r="C584" s="83" t="s">
        <v>120</v>
      </c>
      <c r="D584" s="104" t="s">
        <v>119</v>
      </c>
      <c r="E584" s="275" t="str">
        <f>IFERROR(IF(WA!$E$3="Yes",WA!L57,WA!L57*(1-'Gap data'!$C106)),"")</f>
        <v/>
      </c>
      <c r="F584" s="275">
        <f>IFERROR(IF(WA!$E$3="Yes",WA!M57,WA!M57*(1-'Gap data'!$C106)),"")</f>
        <v>0.20499999999999999</v>
      </c>
      <c r="G584" s="84"/>
      <c r="H584" s="100"/>
      <c r="I584" s="101" t="s">
        <v>408</v>
      </c>
      <c r="J584" s="33"/>
      <c r="K584" s="34"/>
      <c r="M584" s="767">
        <f>IFERROR(WA!L57-E584,0)</f>
        <v>0</v>
      </c>
      <c r="N584" s="767">
        <f>IFERROR(WA!M57-F584,0)</f>
        <v>0</v>
      </c>
    </row>
    <row r="585" spans="1:14">
      <c r="A585" s="873"/>
      <c r="B585" s="1056"/>
      <c r="C585" s="83" t="s">
        <v>122</v>
      </c>
      <c r="D585" s="104" t="s">
        <v>121</v>
      </c>
      <c r="E585" s="275" t="str">
        <f>IFERROR(IF(WA!$E$3="Yes",WA!L58,WA!L58*(1-'Gap data'!$C107)),"")</f>
        <v/>
      </c>
      <c r="F585" s="275" t="str">
        <f>IFERROR(IF(WA!$E$3="Yes",WA!M58,WA!M58*(1-'Gap data'!$C107)),"")</f>
        <v/>
      </c>
      <c r="G585" s="84"/>
      <c r="H585" s="89">
        <v>1</v>
      </c>
      <c r="I585" s="104" t="s">
        <v>397</v>
      </c>
      <c r="J585" s="85">
        <f>SUM(E550:E551,E556:E557)</f>
        <v>85.422499999999999</v>
      </c>
      <c r="K585" s="85">
        <f>SUM(F550:F551,F556:F557)</f>
        <v>4.6534856760984855</v>
      </c>
      <c r="M585" s="767">
        <f>IFERROR(WA!L58-E585,0)</f>
        <v>0</v>
      </c>
      <c r="N585" s="767">
        <f>IFERROR(WA!M58-F585,0)</f>
        <v>0</v>
      </c>
    </row>
    <row r="586" spans="1:14">
      <c r="A586" s="873"/>
      <c r="B586" s="1056"/>
      <c r="C586" s="83" t="s">
        <v>124</v>
      </c>
      <c r="D586" s="104" t="s">
        <v>123</v>
      </c>
      <c r="E586" s="275" t="str">
        <f>IFERROR(IF(WA!$E$3="Yes",WA!L59,WA!L59*(1-'Gap data'!$C108)),"")</f>
        <v/>
      </c>
      <c r="F586" s="275">
        <f>IFERROR(IF(WA!$E$3="Yes",WA!M59,WA!M59*(1-'Gap data'!$C108)),"")</f>
        <v>26.085000000000001</v>
      </c>
      <c r="G586" s="84"/>
      <c r="H586" s="89">
        <v>2</v>
      </c>
      <c r="I586" s="104" t="s">
        <v>398</v>
      </c>
      <c r="J586" s="85">
        <f>SUM(E558:E560,E563)</f>
        <v>5769.4929315964973</v>
      </c>
      <c r="K586" s="85">
        <f>SUM(F558:F560,F563)</f>
        <v>4201.9527148218413</v>
      </c>
      <c r="M586" s="767">
        <f>IFERROR(WA!L59-E586,0)</f>
        <v>0</v>
      </c>
      <c r="N586" s="767">
        <f>IFERROR(WA!M59-F586,0)</f>
        <v>0</v>
      </c>
    </row>
    <row r="587" spans="1:14">
      <c r="A587" s="873"/>
      <c r="B587" s="1056"/>
      <c r="C587" s="83" t="s">
        <v>58</v>
      </c>
      <c r="D587" s="104" t="s">
        <v>136</v>
      </c>
      <c r="E587" s="275">
        <f>IFERROR(IF(WA!$E$3="Yes",WA!L60,WA!L60*(1-'Gap data'!$C109)),"")</f>
        <v>1.1528095168159789</v>
      </c>
      <c r="F587" s="275">
        <f>IFERROR(IF(WA!$E$3="Yes",WA!M60,WA!M60*(1-'Gap data'!$C109)),"")</f>
        <v>7.150253781759436</v>
      </c>
      <c r="G587" s="84"/>
      <c r="H587" s="89">
        <v>3</v>
      </c>
      <c r="I587" s="104" t="s">
        <v>323</v>
      </c>
      <c r="J587" s="85">
        <f>SUM(E587:E590)</f>
        <v>644.03437224946128</v>
      </c>
      <c r="K587" s="85">
        <f>SUM(F587:F590)</f>
        <v>352.07183339755335</v>
      </c>
      <c r="M587" s="767">
        <f>IFERROR(WA!L60-E587,0)</f>
        <v>6.7190483184021099E-2</v>
      </c>
      <c r="N587" s="767">
        <f>IFERROR(WA!M60-F587,0)</f>
        <v>0.41674621824056413</v>
      </c>
    </row>
    <row r="588" spans="1:14">
      <c r="A588" s="873"/>
      <c r="B588" s="1056"/>
      <c r="C588" s="83" t="s">
        <v>59</v>
      </c>
      <c r="D588" s="104" t="s">
        <v>125</v>
      </c>
      <c r="E588" s="108">
        <f>'Gap data'!$C$186*'Gap data'!I12/1000000</f>
        <v>181.68475413804998</v>
      </c>
      <c r="F588" s="108">
        <f>'Gap data'!$C$186*'Gap data'!I13/1000000</f>
        <v>182.93387400105064</v>
      </c>
      <c r="G588" s="84"/>
      <c r="H588" s="89">
        <v>4</v>
      </c>
      <c r="I588" s="104" t="s">
        <v>159</v>
      </c>
      <c r="J588" s="85">
        <f t="shared" ref="J588" si="145">SUM(E577:E580)</f>
        <v>42862.317384920651</v>
      </c>
      <c r="K588" s="85">
        <f>SUM(F577:F580)</f>
        <v>60234.733044171742</v>
      </c>
      <c r="M588" s="767"/>
      <c r="N588" s="767"/>
    </row>
    <row r="589" spans="1:14">
      <c r="A589" s="873"/>
      <c r="B589" s="1056"/>
      <c r="C589" s="83" t="s">
        <v>60</v>
      </c>
      <c r="D589" s="765" t="s">
        <v>163</v>
      </c>
      <c r="E589" s="275">
        <f>IFERROR(IF(WA!$E$3="Yes",WA!L62,WA!L62*(1-'Gap data'!$C111)),"")</f>
        <v>458.33336485911582</v>
      </c>
      <c r="F589" s="275">
        <f>IFERROR(IF(WA!$E$3="Yes",WA!M62,WA!M62*(1-'Gap data'!$C111)),"")</f>
        <v>161.92278624159849</v>
      </c>
      <c r="G589" s="84"/>
      <c r="H589" s="89">
        <v>5</v>
      </c>
      <c r="I589" s="104" t="s">
        <v>399</v>
      </c>
      <c r="J589" s="85">
        <f>E591</f>
        <v>1011.4177527461994</v>
      </c>
      <c r="K589" s="85">
        <f>F591</f>
        <v>772.28417720546531</v>
      </c>
      <c r="M589" s="767">
        <f>IFERROR(WA!L62-E589,0)</f>
        <v>178.27653514088422</v>
      </c>
      <c r="N589" s="767">
        <f>IFERROR(WA!M62-F589,0)</f>
        <v>62.982613758401499</v>
      </c>
    </row>
    <row r="590" spans="1:14">
      <c r="A590" s="874"/>
      <c r="B590" s="1057"/>
      <c r="C590" s="83" t="s">
        <v>61</v>
      </c>
      <c r="D590" s="104" t="s">
        <v>126</v>
      </c>
      <c r="E590" s="275">
        <f>IFERROR(IF(WA!$E$3="Yes",WA!L63,WA!L63*(1-'Gap data'!$C112)),"")</f>
        <v>2.8634437354794136</v>
      </c>
      <c r="F590" s="275">
        <f>IFERROR(IF(WA!$E$3="Yes",WA!M63,WA!M63*(1-'Gap data'!$C112)),"")</f>
        <v>6.4919373144807072E-2</v>
      </c>
      <c r="G590" s="84"/>
      <c r="H590" s="89">
        <v>6</v>
      </c>
      <c r="I590" s="105" t="s">
        <v>462</v>
      </c>
      <c r="J590" s="763">
        <f t="shared" ref="J590" si="146">E592</f>
        <v>1209.4233095029392</v>
      </c>
      <c r="K590" s="763">
        <f t="shared" ref="K590" si="147">F592</f>
        <v>4721.189721680712</v>
      </c>
      <c r="M590" s="767">
        <f>IFERROR(WA!L63-E590,0)</f>
        <v>3.5562645205864385E-3</v>
      </c>
      <c r="N590" s="767">
        <f>IFERROR(WA!M63-F590,0)</f>
        <v>8.0626855192930669E-5</v>
      </c>
    </row>
    <row r="591" spans="1:14">
      <c r="A591" s="872" t="s">
        <v>62</v>
      </c>
      <c r="B591" s="1055" t="s">
        <v>164</v>
      </c>
      <c r="C591" s="83" t="s">
        <v>63</v>
      </c>
      <c r="D591" s="104" t="s">
        <v>165</v>
      </c>
      <c r="E591" s="275">
        <f>IFERROR(IF(WA!$E$3="Yes",WA!L64,WA!L64*(1-'Gap data'!$C113)),"")</f>
        <v>1011.4177527461994</v>
      </c>
      <c r="F591" s="275">
        <f>IFERROR(IF(WA!$E$3="Yes",WA!M64,WA!M64*(1-'Gap data'!$C113)),"")</f>
        <v>772.28417720546531</v>
      </c>
      <c r="H591" s="89">
        <v>7</v>
      </c>
      <c r="I591" s="105" t="s">
        <v>463</v>
      </c>
      <c r="J591" s="763">
        <f>SUM(E593,E596)</f>
        <v>20.252857142857145</v>
      </c>
      <c r="K591" s="763">
        <f>SUM(F593,F596)</f>
        <v>133.16171428571428</v>
      </c>
      <c r="M591" s="767">
        <f>IFERROR(WA!L64-E591,0)</f>
        <v>671.96724725380056</v>
      </c>
      <c r="N591" s="767">
        <f>IFERROR(WA!M64-F591,0)</f>
        <v>513.09132279453456</v>
      </c>
    </row>
    <row r="592" spans="1:14">
      <c r="A592" s="873"/>
      <c r="B592" s="1056"/>
      <c r="C592" s="83" t="s">
        <v>64</v>
      </c>
      <c r="D592" s="104" t="s">
        <v>127</v>
      </c>
      <c r="E592" s="275">
        <f>IFERROR(IF(WA!$E$3="Yes",WA!L65,WA!L65*(1-'Gap data'!$C114)),"")</f>
        <v>1209.4233095029392</v>
      </c>
      <c r="F592" s="275">
        <f>IFERROR(IF(WA!$E$3="Yes",WA!M65,WA!M65*(1-'Gap data'!$C114)),"")</f>
        <v>4721.189721680712</v>
      </c>
      <c r="G592" s="760" t="str">
        <f>G572</f>
        <v>WA</v>
      </c>
      <c r="H592" s="89">
        <v>8</v>
      </c>
      <c r="I592" s="104" t="s">
        <v>133</v>
      </c>
      <c r="J592" s="85">
        <f>E605</f>
        <v>34535.5</v>
      </c>
      <c r="K592" s="85">
        <f>F605</f>
        <v>34535.5</v>
      </c>
      <c r="M592" s="767">
        <f>IFERROR(WA!L65-E592,0)</f>
        <v>167.83469049706059</v>
      </c>
      <c r="N592" s="767">
        <f>IFERROR(WA!M65-F592,0)</f>
        <v>655.17127831928883</v>
      </c>
    </row>
    <row r="593" spans="1:14">
      <c r="A593" s="873"/>
      <c r="B593" s="1056"/>
      <c r="C593" s="83" t="s">
        <v>65</v>
      </c>
      <c r="D593" s="104" t="s">
        <v>166</v>
      </c>
      <c r="E593" s="275">
        <f>IFERROR(IF(WA!$E$3="Yes",WA!L66,WA!L66*(1-'Gap data'!$C115)),"")</f>
        <v>5.7428571428571438</v>
      </c>
      <c r="F593" s="275">
        <f>IFERROR(IF(WA!$E$3="Yes",WA!M66,WA!M66*(1-'Gap data'!$C115)),"")</f>
        <v>54.001714285714293</v>
      </c>
      <c r="G593" s="766"/>
      <c r="M593" s="767">
        <f>IFERROR(WA!L66-E593,0)</f>
        <v>0.95714285714285641</v>
      </c>
      <c r="N593" s="767">
        <f>IFERROR(WA!M66-F593,0)</f>
        <v>9.0002857142857096</v>
      </c>
    </row>
    <row r="594" spans="1:14">
      <c r="A594" s="873"/>
      <c r="B594" s="1056"/>
      <c r="C594" s="83" t="s">
        <v>66</v>
      </c>
      <c r="D594" s="104" t="s">
        <v>173</v>
      </c>
      <c r="E594" s="275">
        <f>IFERROR(IF(WA!$E$3="Yes",WA!L67,WA!L67*(1-'Gap data'!$C116)),"")</f>
        <v>39.52928716573193</v>
      </c>
      <c r="F594" s="275">
        <f>IFERROR(IF(WA!$E$3="Yes",WA!M67,WA!M67*(1-'Gap data'!$C116)),"")</f>
        <v>81.442928147606281</v>
      </c>
      <c r="G594" s="766"/>
      <c r="M594" s="767">
        <f>IFERROR(WA!L67-E594,0)</f>
        <v>1.0712834268069571E-2</v>
      </c>
      <c r="N594" s="767">
        <f>IFERROR(WA!M67-F594,0)</f>
        <v>2.2071852393722224E-2</v>
      </c>
    </row>
    <row r="595" spans="1:14">
      <c r="A595" s="873"/>
      <c r="B595" s="1056"/>
      <c r="C595" s="83" t="s">
        <v>67</v>
      </c>
      <c r="D595" s="104" t="s">
        <v>174</v>
      </c>
      <c r="E595" s="275">
        <f>IFERROR(IF(WA!$E$3="Yes",WA!L68,WA!L68*(1-'Gap data'!$C117)),"")</f>
        <v>216.68006983710691</v>
      </c>
      <c r="F595" s="275">
        <f>IFERROR(IF(WA!$E$3="Yes",WA!M68,WA!M68*(1-'Gap data'!$C117)),"")</f>
        <v>312.41542500754929</v>
      </c>
      <c r="G595" s="766"/>
      <c r="M595" s="767">
        <f>IFERROR(WA!L68-E595,0)</f>
        <v>2.1199301628930982</v>
      </c>
      <c r="N595" s="767">
        <f>IFERROR(WA!M68-F595,0)</f>
        <v>3.0565749924506918</v>
      </c>
    </row>
    <row r="596" spans="1:14">
      <c r="A596" s="873"/>
      <c r="B596" s="1056"/>
      <c r="C596" s="83" t="s">
        <v>68</v>
      </c>
      <c r="D596" s="104" t="s">
        <v>175</v>
      </c>
      <c r="E596" s="275">
        <f>IFERROR(IF(WA!$E$3="Yes",WA!L69,WA!L69*(1-'Gap data'!$C118)),"")</f>
        <v>14.510000000000002</v>
      </c>
      <c r="F596" s="275">
        <f>IFERROR(IF(WA!$E$3="Yes",WA!M69,WA!M69*(1-'Gap data'!$C118)),"")</f>
        <v>79.16</v>
      </c>
      <c r="G596" s="766"/>
      <c r="M596" s="767">
        <f>IFERROR(WA!L69-E596,0)</f>
        <v>0</v>
      </c>
      <c r="N596" s="767">
        <f>IFERROR(WA!M69-F596,0)</f>
        <v>0</v>
      </c>
    </row>
    <row r="597" spans="1:14">
      <c r="A597" s="873"/>
      <c r="B597" s="1056"/>
      <c r="C597" s="83" t="s">
        <v>128</v>
      </c>
      <c r="D597" s="104" t="s">
        <v>167</v>
      </c>
      <c r="E597" s="108">
        <f>IF(ISNUMBER(WA!L70),WA!L70*IF(WA!$E$3="Yes",1,1-'Gap data'!$C119),0)+'Gap data'!$I$35</f>
        <v>68006.572517427558</v>
      </c>
      <c r="F597" s="108">
        <f>IF(ISNUMBER(WA!M70),WA!M70*IF(WA!$E$3="Yes",1,1-'Gap data'!$C119),0)+'Gap data'!$I$35</f>
        <v>66109.757343438527</v>
      </c>
      <c r="G597" s="766"/>
      <c r="M597" s="767"/>
      <c r="N597" s="767"/>
    </row>
    <row r="598" spans="1:14">
      <c r="A598" s="873"/>
      <c r="B598" s="1056"/>
      <c r="C598" s="83" t="s">
        <v>69</v>
      </c>
      <c r="D598" s="104" t="s">
        <v>129</v>
      </c>
      <c r="E598" s="108">
        <f>'Gap data'!$C$196*'Gap data'!I12/1000000</f>
        <v>19660.785372443082</v>
      </c>
      <c r="F598" s="108">
        <f>'Gap data'!$C$196*'Gap data'!I13/1000000</f>
        <v>19795.957295081407</v>
      </c>
      <c r="G598" s="766"/>
      <c r="M598" s="767"/>
      <c r="N598" s="767"/>
    </row>
    <row r="599" spans="1:14">
      <c r="A599" s="874"/>
      <c r="B599" s="1057"/>
      <c r="C599" s="83" t="s">
        <v>70</v>
      </c>
      <c r="D599" s="104" t="s">
        <v>168</v>
      </c>
      <c r="E599" s="275" t="str">
        <f>IFERROR(IF(WA!$E$3="Yes",WA!L72,WA!L72*(1-'Gap data'!$C121)),"")</f>
        <v/>
      </c>
      <c r="F599" s="275">
        <f>IFERROR(IF(WA!$E$3="Yes",WA!M72,WA!M72*(1-'Gap data'!$C121)),"")</f>
        <v>8.1295912620070805</v>
      </c>
      <c r="G599" s="766"/>
      <c r="M599" s="767">
        <f>IFERROR(WA!L72-E599,0)</f>
        <v>0</v>
      </c>
      <c r="N599" s="767">
        <f>IFERROR(WA!M72-F599,0)</f>
        <v>4.0873799291851753E-4</v>
      </c>
    </row>
    <row r="600" spans="1:14">
      <c r="A600" s="872" t="s">
        <v>71</v>
      </c>
      <c r="B600" s="1055" t="s">
        <v>169</v>
      </c>
      <c r="C600" s="83" t="s">
        <v>72</v>
      </c>
      <c r="D600" s="104" t="s">
        <v>170</v>
      </c>
      <c r="E600" s="275" t="str">
        <f>IFERROR(IF(WA!$E$3="Yes",WA!L73,WA!L73*(1-'Gap data'!$C122)),"")</f>
        <v/>
      </c>
      <c r="F600" s="275">
        <f>IFERROR(IF(WA!$E$3="Yes",WA!M73,WA!M73*(1-'Gap data'!$C122)),"")</f>
        <v>1321.2568198226627</v>
      </c>
      <c r="G600" s="766"/>
      <c r="M600" s="767">
        <f>IFERROR(WA!L73-E600,0)</f>
        <v>0</v>
      </c>
      <c r="N600" s="767">
        <f>IFERROR(WA!M73-F600,0)</f>
        <v>54.521540177337556</v>
      </c>
    </row>
    <row r="601" spans="1:14">
      <c r="A601" s="873"/>
      <c r="B601" s="1056"/>
      <c r="C601" s="83" t="s">
        <v>73</v>
      </c>
      <c r="D601" s="104" t="s">
        <v>130</v>
      </c>
      <c r="E601" s="275" t="str">
        <f>IFERROR(IF(WA!$E$3="Yes",WA!L74,WA!L74*(1-'Gap data'!$C123)),"")</f>
        <v/>
      </c>
      <c r="F601" s="275">
        <f>IFERROR(IF(WA!$E$3="Yes",WA!M74,WA!M74*(1-'Gap data'!$C123)),"")</f>
        <v>12.777296554781064</v>
      </c>
      <c r="G601" s="766"/>
      <c r="M601" s="767">
        <f>IFERROR(WA!L74-E601,0)</f>
        <v>0</v>
      </c>
      <c r="N601" s="767">
        <f>IFERROR(WA!M74-F601,0)</f>
        <v>0.29370344521893621</v>
      </c>
    </row>
    <row r="602" spans="1:14">
      <c r="A602" s="874"/>
      <c r="B602" s="1057"/>
      <c r="C602" s="83" t="s">
        <v>74</v>
      </c>
      <c r="D602" s="104" t="s">
        <v>131</v>
      </c>
      <c r="E602" s="275" t="str">
        <f>IFERROR(IF(WA!$E$3="Yes",WA!L75,WA!L75*(1-'Gap data'!$C124)),"")</f>
        <v/>
      </c>
      <c r="F602" s="275">
        <f>IFERROR(IF(WA!$E$3="Yes",WA!M75,WA!M75*(1-'Gap data'!$C124)),"")</f>
        <v>9.9201822293925197</v>
      </c>
      <c r="G602" s="766"/>
      <c r="M602" s="767">
        <f>IFERROR(WA!L75-E602,0)</f>
        <v>0</v>
      </c>
      <c r="N602" s="767">
        <f>IFERROR(WA!M75-F602,0)</f>
        <v>1.1018177706074805</v>
      </c>
    </row>
    <row r="603" spans="1:14">
      <c r="A603" s="872" t="s">
        <v>75</v>
      </c>
      <c r="B603" s="1055" t="s">
        <v>76</v>
      </c>
      <c r="C603" s="83" t="s">
        <v>77</v>
      </c>
      <c r="D603" s="765" t="s">
        <v>171</v>
      </c>
      <c r="E603" s="275">
        <f>IFERROR(IF(WA!$E$3="Yes",WA!L76,WA!L76*(1-'Gap data'!$C125)),"")</f>
        <v>137.01165226867863</v>
      </c>
      <c r="F603" s="275">
        <f>IFERROR(IF(WA!$E$3="Yes",WA!M76,WA!M76*(1-'Gap data'!$C125)),"")</f>
        <v>89.351531831726717</v>
      </c>
      <c r="G603" s="766"/>
      <c r="M603" s="767">
        <f>IFERROR(WA!L76-E603,0)</f>
        <v>45.972667731321366</v>
      </c>
      <c r="N603" s="767">
        <f>IFERROR(WA!M76-F603,0)</f>
        <v>29.98086816827329</v>
      </c>
    </row>
    <row r="604" spans="1:14">
      <c r="A604" s="873"/>
      <c r="B604" s="1056"/>
      <c r="C604" s="83" t="s">
        <v>78</v>
      </c>
      <c r="D604" s="104" t="s">
        <v>132</v>
      </c>
      <c r="E604" s="275">
        <f>IFERROR(IF(WA!$E$3="Yes",WA!L77,WA!L77*(1-'Gap data'!$C126)),"")</f>
        <v>11.182801743534418</v>
      </c>
      <c r="F604" s="275">
        <f>IFERROR(IF(WA!$E$3="Yes",WA!M77,WA!M77*(1-'Gap data'!$C126)),"")</f>
        <v>23.948066124618826</v>
      </c>
      <c r="G604" s="766"/>
      <c r="M604" s="767">
        <f>IFERROR(WA!L77-E604,0)</f>
        <v>0.15219825646558327</v>
      </c>
      <c r="N604" s="767">
        <f>IFERROR(WA!M77-F604,0)</f>
        <v>0.32593387538117113</v>
      </c>
    </row>
    <row r="605" spans="1:14">
      <c r="A605" s="873"/>
      <c r="B605" s="1056"/>
      <c r="C605" s="83" t="s">
        <v>134</v>
      </c>
      <c r="D605" s="104" t="s">
        <v>133</v>
      </c>
      <c r="E605" s="108">
        <f>'Gap data'!$I$42</f>
        <v>34535.5</v>
      </c>
      <c r="F605" s="108">
        <f>'Gap data'!$I$42</f>
        <v>34535.5</v>
      </c>
      <c r="G605" s="766"/>
      <c r="M605" s="767"/>
      <c r="N605" s="767"/>
    </row>
    <row r="606" spans="1:14">
      <c r="A606" s="874"/>
      <c r="B606" s="1057"/>
      <c r="C606" s="83" t="s">
        <v>172</v>
      </c>
      <c r="D606" s="104" t="s">
        <v>135</v>
      </c>
      <c r="E606" s="275" t="str">
        <f>IFERROR(IF(WA!$E$3="Yes",WA!L79,WA!L79*(1-'Gap data'!$C128)),"")</f>
        <v/>
      </c>
      <c r="F606" s="275" t="str">
        <f>IFERROR(IF(WA!$E$3="Yes",WA!M79,WA!M79*(1-'Gap data'!$C128)),"")</f>
        <v/>
      </c>
      <c r="G606" s="766"/>
      <c r="M606" s="767">
        <f>IFERROR(WA!L79-E606,0)</f>
        <v>0</v>
      </c>
      <c r="N606" s="767">
        <f>IFERROR(WA!M79-F606,0)</f>
        <v>0</v>
      </c>
    </row>
    <row r="607" spans="1:14">
      <c r="G607" s="766"/>
      <c r="H607" s="766"/>
      <c r="I607" s="766"/>
      <c r="J607" s="766"/>
      <c r="K607" s="766"/>
    </row>
    <row r="608" spans="1:14" ht="13.5" customHeight="1">
      <c r="G608" s="69"/>
    </row>
    <row r="609" spans="7:7">
      <c r="G609" s="69"/>
    </row>
    <row r="612" spans="7:7">
      <c r="G612" s="69"/>
    </row>
  </sheetData>
  <sheetProtection sheet="1" objects="1" scenarios="1"/>
  <mergeCells count="180">
    <mergeCell ref="A506:A515"/>
    <mergeCell ref="A516:A524"/>
    <mergeCell ref="A525:A527"/>
    <mergeCell ref="A528:A531"/>
    <mergeCell ref="A535:A537"/>
    <mergeCell ref="A490:A491"/>
    <mergeCell ref="A492:A495"/>
    <mergeCell ref="A496:A498"/>
    <mergeCell ref="A499:A501"/>
    <mergeCell ref="A502:A505"/>
    <mergeCell ref="A577:A580"/>
    <mergeCell ref="A581:A590"/>
    <mergeCell ref="A591:A599"/>
    <mergeCell ref="A600:A602"/>
    <mergeCell ref="A603:A606"/>
    <mergeCell ref="A540:A563"/>
    <mergeCell ref="A565:A566"/>
    <mergeCell ref="A567:A570"/>
    <mergeCell ref="A571:A573"/>
    <mergeCell ref="A574:A576"/>
    <mergeCell ref="A453:A456"/>
    <mergeCell ref="A460:A462"/>
    <mergeCell ref="A465:A488"/>
    <mergeCell ref="A417:A420"/>
    <mergeCell ref="A421:A423"/>
    <mergeCell ref="A424:A426"/>
    <mergeCell ref="A427:A430"/>
    <mergeCell ref="A431:A440"/>
    <mergeCell ref="A375:A377"/>
    <mergeCell ref="A378:A381"/>
    <mergeCell ref="A385:A387"/>
    <mergeCell ref="A390:A413"/>
    <mergeCell ref="A415:A416"/>
    <mergeCell ref="A441:A449"/>
    <mergeCell ref="A450:A452"/>
    <mergeCell ref="A346:A348"/>
    <mergeCell ref="A349:A351"/>
    <mergeCell ref="A352:A355"/>
    <mergeCell ref="A356:A365"/>
    <mergeCell ref="A366:A374"/>
    <mergeCell ref="A303:A306"/>
    <mergeCell ref="A310:A312"/>
    <mergeCell ref="A315:A338"/>
    <mergeCell ref="A340:A341"/>
    <mergeCell ref="A342:A345"/>
    <mergeCell ref="A274:A276"/>
    <mergeCell ref="A277:A280"/>
    <mergeCell ref="A281:A290"/>
    <mergeCell ref="A291:A299"/>
    <mergeCell ref="A300:A302"/>
    <mergeCell ref="A235:A237"/>
    <mergeCell ref="A240:A263"/>
    <mergeCell ref="A265:A266"/>
    <mergeCell ref="A267:A270"/>
    <mergeCell ref="A271:A273"/>
    <mergeCell ref="A153:A156"/>
    <mergeCell ref="A199:A201"/>
    <mergeCell ref="A202:A205"/>
    <mergeCell ref="A206:A215"/>
    <mergeCell ref="A216:A224"/>
    <mergeCell ref="A225:A227"/>
    <mergeCell ref="A160:A162"/>
    <mergeCell ref="A165:A188"/>
    <mergeCell ref="A190:A191"/>
    <mergeCell ref="A192:A195"/>
    <mergeCell ref="A196:A198"/>
    <mergeCell ref="A56:A65"/>
    <mergeCell ref="A66:A74"/>
    <mergeCell ref="B202:B205"/>
    <mergeCell ref="B206:B215"/>
    <mergeCell ref="B216:B224"/>
    <mergeCell ref="B225:B227"/>
    <mergeCell ref="B228:B231"/>
    <mergeCell ref="B303:B306"/>
    <mergeCell ref="B274:B276"/>
    <mergeCell ref="B277:B280"/>
    <mergeCell ref="B153:B156"/>
    <mergeCell ref="B235:B237"/>
    <mergeCell ref="B240:B263"/>
    <mergeCell ref="B265:B266"/>
    <mergeCell ref="B267:B270"/>
    <mergeCell ref="B271:B273"/>
    <mergeCell ref="B190:B191"/>
    <mergeCell ref="B192:B195"/>
    <mergeCell ref="B196:B198"/>
    <mergeCell ref="B199:B201"/>
    <mergeCell ref="B160:B162"/>
    <mergeCell ref="B165:B188"/>
    <mergeCell ref="A228:A231"/>
    <mergeCell ref="A150:A152"/>
    <mergeCell ref="A131:A140"/>
    <mergeCell ref="A141:A149"/>
    <mergeCell ref="A85:A87"/>
    <mergeCell ref="A90:A113"/>
    <mergeCell ref="A115:A116"/>
    <mergeCell ref="A117:A120"/>
    <mergeCell ref="A121:A123"/>
    <mergeCell ref="A124:A126"/>
    <mergeCell ref="A127:A130"/>
    <mergeCell ref="B291:B299"/>
    <mergeCell ref="B300:B302"/>
    <mergeCell ref="B310:B312"/>
    <mergeCell ref="B315:B338"/>
    <mergeCell ref="B340:B341"/>
    <mergeCell ref="B342:B345"/>
    <mergeCell ref="B346:B348"/>
    <mergeCell ref="B85:B87"/>
    <mergeCell ref="B90:B113"/>
    <mergeCell ref="B124:B126"/>
    <mergeCell ref="B127:B130"/>
    <mergeCell ref="B131:B140"/>
    <mergeCell ref="B141:B149"/>
    <mergeCell ref="B150:B152"/>
    <mergeCell ref="B115:B116"/>
    <mergeCell ref="B117:B120"/>
    <mergeCell ref="B121:B123"/>
    <mergeCell ref="J5:K5"/>
    <mergeCell ref="B66:B74"/>
    <mergeCell ref="B75:B77"/>
    <mergeCell ref="B78:B81"/>
    <mergeCell ref="B42:B45"/>
    <mergeCell ref="B46:B48"/>
    <mergeCell ref="B49:B51"/>
    <mergeCell ref="B52:B55"/>
    <mergeCell ref="B56:B65"/>
    <mergeCell ref="A5:D5"/>
    <mergeCell ref="H5:I5"/>
    <mergeCell ref="B40:B41"/>
    <mergeCell ref="B10:B12"/>
    <mergeCell ref="B15:B38"/>
    <mergeCell ref="E5:F5"/>
    <mergeCell ref="A10:A12"/>
    <mergeCell ref="A46:A48"/>
    <mergeCell ref="A75:A77"/>
    <mergeCell ref="A78:A81"/>
    <mergeCell ref="A49:A51"/>
    <mergeCell ref="A15:A38"/>
    <mergeCell ref="A40:A41"/>
    <mergeCell ref="A42:A45"/>
    <mergeCell ref="A52:A55"/>
    <mergeCell ref="B349:B351"/>
    <mergeCell ref="B352:B355"/>
    <mergeCell ref="B356:B365"/>
    <mergeCell ref="B366:B374"/>
    <mergeCell ref="B375:B377"/>
    <mergeCell ref="B378:B381"/>
    <mergeCell ref="B281:B290"/>
    <mergeCell ref="B577:B580"/>
    <mergeCell ref="B581:B590"/>
    <mergeCell ref="B460:B462"/>
    <mergeCell ref="B465:B488"/>
    <mergeCell ref="B490:B491"/>
    <mergeCell ref="B492:B495"/>
    <mergeCell ref="B385:B387"/>
    <mergeCell ref="B390:B413"/>
    <mergeCell ref="B415:B416"/>
    <mergeCell ref="B417:B420"/>
    <mergeCell ref="B450:B452"/>
    <mergeCell ref="B453:B456"/>
    <mergeCell ref="B421:B423"/>
    <mergeCell ref="B424:B426"/>
    <mergeCell ref="B427:B430"/>
    <mergeCell ref="B431:B440"/>
    <mergeCell ref="B441:B449"/>
    <mergeCell ref="B591:B599"/>
    <mergeCell ref="B600:B602"/>
    <mergeCell ref="B603:B606"/>
    <mergeCell ref="B525:B527"/>
    <mergeCell ref="B528:B531"/>
    <mergeCell ref="B496:B498"/>
    <mergeCell ref="B499:B501"/>
    <mergeCell ref="B502:B505"/>
    <mergeCell ref="B506:B515"/>
    <mergeCell ref="B516:B524"/>
    <mergeCell ref="B574:B576"/>
    <mergeCell ref="B567:B570"/>
    <mergeCell ref="B571:B573"/>
    <mergeCell ref="B535:B537"/>
    <mergeCell ref="B540:B563"/>
    <mergeCell ref="B565:B566"/>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dimension ref="A1:AB79"/>
  <sheetViews>
    <sheetView showGridLines="0" zoomScale="80" zoomScaleNormal="80" workbookViewId="0">
      <pane ySplit="6" topLeftCell="A7" activePane="bottomLeft" state="frozen"/>
      <selection pane="bottomLeft" activeCell="A7" sqref="A7"/>
    </sheetView>
  </sheetViews>
  <sheetFormatPr defaultColWidth="9.140625" defaultRowHeight="15"/>
  <cols>
    <col min="1" max="1" width="9.140625" style="69"/>
    <col min="2" max="2" width="25" style="69" customWidth="1"/>
    <col min="3" max="3" width="9.140625" style="69"/>
    <col min="4" max="4" width="91.5703125" style="69" customWidth="1"/>
    <col min="5" max="5" width="11.42578125" style="69" customWidth="1"/>
    <col min="6" max="6" width="11" style="69" customWidth="1"/>
    <col min="7" max="7" width="9" style="107" customWidth="1"/>
    <col min="8" max="8" width="9.7109375" style="69" bestFit="1" customWidth="1"/>
    <col min="9" max="9" width="69.140625" style="69" customWidth="1"/>
    <col min="10" max="11" width="12.28515625" style="69" customWidth="1"/>
    <col min="12" max="12" width="14.5703125" style="69" customWidth="1"/>
    <col min="13" max="13" width="9.140625" style="69"/>
    <col min="14" max="14" width="10.7109375" style="848" customWidth="1"/>
    <col min="15" max="15" width="7.7109375" style="848" customWidth="1"/>
    <col min="16" max="16" width="9.140625" style="858"/>
    <col min="17" max="17" width="9.140625" style="860"/>
    <col min="18" max="16384" width="9.140625" style="69"/>
  </cols>
  <sheetData>
    <row r="1" spans="1:28" s="549" customFormat="1" ht="21">
      <c r="A1" s="748" t="s">
        <v>848</v>
      </c>
      <c r="D1" s="550"/>
      <c r="E1" s="551"/>
      <c r="F1" s="551"/>
      <c r="G1" s="551"/>
      <c r="H1" s="550"/>
      <c r="I1" s="551"/>
      <c r="N1" s="846"/>
      <c r="O1" s="846"/>
      <c r="P1" s="856"/>
      <c r="Q1" s="859"/>
      <c r="R1" s="751"/>
    </row>
    <row r="2" spans="1:28" s="553" customFormat="1" ht="18.75">
      <c r="A2" s="783" t="s">
        <v>452</v>
      </c>
      <c r="C2" s="554"/>
      <c r="D2" s="555"/>
      <c r="E2" s="753"/>
      <c r="F2" s="554"/>
      <c r="H2" s="753"/>
      <c r="I2" s="554"/>
      <c r="K2" s="784" t="s">
        <v>670</v>
      </c>
      <c r="L2" s="785">
        <f>SUM(L7:L52)</f>
        <v>3758632.9696738035</v>
      </c>
      <c r="M2" s="786" t="s">
        <v>787</v>
      </c>
      <c r="N2" s="847"/>
      <c r="O2" s="552"/>
      <c r="P2" s="857"/>
      <c r="Q2" s="847"/>
      <c r="S2" s="753"/>
      <c r="T2" s="554"/>
      <c r="V2" s="753"/>
      <c r="W2" s="554"/>
      <c r="Y2" s="753"/>
      <c r="Z2" s="554"/>
      <c r="AB2" s="753"/>
    </row>
    <row r="3" spans="1:28" ht="18.75">
      <c r="G3" s="109"/>
      <c r="K3" s="784" t="s">
        <v>775</v>
      </c>
      <c r="L3" s="785">
        <f>SUM(L7:L52,L57:L64)</f>
        <v>6272419.9738542931</v>
      </c>
      <c r="M3" s="786" t="s">
        <v>786</v>
      </c>
    </row>
    <row r="4" spans="1:28" ht="18.75">
      <c r="G4" s="109"/>
      <c r="K4" s="784" t="s">
        <v>776</v>
      </c>
      <c r="L4" s="785">
        <f>SUM(L54:L55)</f>
        <v>13602709.064029222</v>
      </c>
      <c r="M4" s="786" t="s">
        <v>788</v>
      </c>
    </row>
    <row r="5" spans="1:28" ht="18.75" customHeight="1">
      <c r="A5" s="887" t="s">
        <v>402</v>
      </c>
      <c r="B5" s="888"/>
      <c r="C5" s="888"/>
      <c r="D5" s="882"/>
      <c r="E5" s="889" t="s">
        <v>401</v>
      </c>
      <c r="F5" s="890"/>
      <c r="G5" s="68"/>
      <c r="H5" s="881" t="s">
        <v>403</v>
      </c>
      <c r="I5" s="882"/>
      <c r="J5" s="883" t="s">
        <v>401</v>
      </c>
      <c r="K5" s="884"/>
      <c r="L5" s="787"/>
      <c r="R5" s="849" t="s">
        <v>1027</v>
      </c>
      <c r="S5" s="849" t="s">
        <v>1031</v>
      </c>
      <c r="T5" s="853">
        <v>0.4</v>
      </c>
      <c r="U5" s="851"/>
    </row>
    <row r="6" spans="1:28" ht="25.5" customHeight="1">
      <c r="A6" s="77" t="s">
        <v>781</v>
      </c>
      <c r="B6" s="76" t="s">
        <v>409</v>
      </c>
      <c r="C6" s="77" t="s">
        <v>782</v>
      </c>
      <c r="D6" s="76" t="s">
        <v>404</v>
      </c>
      <c r="E6" s="78" t="s">
        <v>668</v>
      </c>
      <c r="F6" s="78" t="s">
        <v>669</v>
      </c>
      <c r="G6" s="74"/>
      <c r="H6" s="79" t="s">
        <v>0</v>
      </c>
      <c r="I6" s="80" t="s">
        <v>406</v>
      </c>
      <c r="J6" s="81" t="s">
        <v>668</v>
      </c>
      <c r="K6" s="81" t="s">
        <v>669</v>
      </c>
      <c r="L6" s="788" t="s">
        <v>885</v>
      </c>
      <c r="N6" s="865" t="s">
        <v>1026</v>
      </c>
      <c r="O6" s="866" t="s">
        <v>1030</v>
      </c>
      <c r="P6" s="855" t="s">
        <v>1039</v>
      </c>
      <c r="Q6" s="786" t="s">
        <v>1033</v>
      </c>
      <c r="R6" s="850" t="s">
        <v>1028</v>
      </c>
      <c r="S6" s="850" t="s">
        <v>1029</v>
      </c>
      <c r="T6" s="854">
        <v>10000</v>
      </c>
      <c r="U6" s="852" t="s">
        <v>1032</v>
      </c>
    </row>
    <row r="7" spans="1:28" ht="15.75">
      <c r="A7" s="789" t="s">
        <v>3</v>
      </c>
      <c r="B7" s="790" t="s">
        <v>137</v>
      </c>
      <c r="C7" s="83" t="s">
        <v>4</v>
      </c>
      <c r="D7" s="764" t="s">
        <v>79</v>
      </c>
      <c r="E7" s="85">
        <f>SUM('Adjusted jurisdiction data'!E10,'Adjusted jurisdiction data'!E85,'Adjusted jurisdiction data'!E160,'Adjusted jurisdiction data'!E235,'Adjusted jurisdiction data'!E310,'Adjusted jurisdiction data'!E385,'Adjusted jurisdiction data'!E460,'Adjusted jurisdiction data'!E535)</f>
        <v>3538.0479999999998</v>
      </c>
      <c r="F7" s="85">
        <f>SUM('Adjusted jurisdiction data'!F10,'Adjusted jurisdiction data'!F85,'Adjusted jurisdiction data'!F160,'Adjusted jurisdiction data'!F235,'Adjusted jurisdiction data'!F310,'Adjusted jurisdiction data'!F385,'Adjusted jurisdiction data'!F460,'Adjusted jurisdiction data'!F535)</f>
        <v>4573.5420010000034</v>
      </c>
      <c r="G7" s="84"/>
      <c r="H7" s="86" t="s">
        <v>324</v>
      </c>
      <c r="I7" s="87" t="s">
        <v>325</v>
      </c>
      <c r="J7" s="85">
        <f>SUM('Adjusted jurisdiction data'!J10,'Adjusted jurisdiction data'!J85,'Adjusted jurisdiction data'!J160,'Adjusted jurisdiction data'!J235,'Adjusted jurisdiction data'!J310,'Adjusted jurisdiction data'!J385,'Adjusted jurisdiction data'!J460,'Adjusted jurisdiction data'!J535)</f>
        <v>32391.646022577872</v>
      </c>
      <c r="K7" s="85">
        <f>SUM('Adjusted jurisdiction data'!K10,'Adjusted jurisdiction data'!K85,'Adjusted jurisdiction data'!K160,'Adjusted jurisdiction data'!K235,'Adjusted jurisdiction data'!K310,'Adjusted jurisdiction data'!K385,'Adjusted jurisdiction data'!K460,'Adjusted jurisdiction data'!K535)</f>
        <v>33645.018778711463</v>
      </c>
      <c r="L7" s="791">
        <f t="shared" ref="L7:L15" si="0">SUM(J7:K7)</f>
        <v>66036.664801289327</v>
      </c>
      <c r="N7" s="867">
        <v>72214.052740783038</v>
      </c>
      <c r="O7" s="868">
        <f>IFERROR(ABS(N7-L7)/N7,0)</f>
        <v>8.5542740021361766E-2</v>
      </c>
      <c r="P7" s="858" t="str">
        <f t="shared" ref="P7:P24" si="1">IF(AND(O7&gt;T$5,L7&gt;T$6),"Yes","")</f>
        <v/>
      </c>
    </row>
    <row r="8" spans="1:28" ht="15.75">
      <c r="A8" s="792"/>
      <c r="B8" s="793"/>
      <c r="C8" s="83" t="s">
        <v>138</v>
      </c>
      <c r="D8" s="764" t="s">
        <v>139</v>
      </c>
      <c r="E8" s="85">
        <f>SUM('Adjusted jurisdiction data'!E11,'Adjusted jurisdiction data'!E86,'Adjusted jurisdiction data'!E161,'Adjusted jurisdiction data'!E236,'Adjusted jurisdiction data'!E311,'Adjusted jurisdiction data'!E386,'Adjusted jurisdiction data'!E461,'Adjusted jurisdiction data'!E536)</f>
        <v>42.74</v>
      </c>
      <c r="F8" s="85">
        <f>SUM('Adjusted jurisdiction data'!F11,'Adjusted jurisdiction data'!F86,'Adjusted jurisdiction data'!F161,'Adjusted jurisdiction data'!F236,'Adjusted jurisdiction data'!F311,'Adjusted jurisdiction data'!F386,'Adjusted jurisdiction data'!F461,'Adjusted jurisdiction data'!F536)</f>
        <v>5.1619010000000003</v>
      </c>
      <c r="G8" s="84"/>
      <c r="H8" s="86" t="s">
        <v>326</v>
      </c>
      <c r="I8" s="87" t="s">
        <v>327</v>
      </c>
      <c r="J8" s="85">
        <f>SUM('Adjusted jurisdiction data'!J11,'Adjusted jurisdiction data'!J86,'Adjusted jurisdiction data'!J161,'Adjusted jurisdiction data'!J236,'Adjusted jurisdiction data'!J311,'Adjusted jurisdiction data'!J386,'Adjusted jurisdiction data'!J461,'Adjusted jurisdiction data'!J536)</f>
        <v>329.08150257753749</v>
      </c>
      <c r="K8" s="85">
        <f>SUM('Adjusted jurisdiction data'!K11,'Adjusted jurisdiction data'!K86,'Adjusted jurisdiction data'!K161,'Adjusted jurisdiction data'!K236,'Adjusted jurisdiction data'!K311,'Adjusted jurisdiction data'!K386,'Adjusted jurisdiction data'!K461,'Adjusted jurisdiction data'!K536)</f>
        <v>824.4960997043712</v>
      </c>
      <c r="L8" s="791">
        <f t="shared" si="0"/>
        <v>1153.5776022819086</v>
      </c>
      <c r="M8" s="794"/>
      <c r="N8" s="867">
        <v>1163.3467600000001</v>
      </c>
      <c r="O8" s="868">
        <f t="shared" ref="O8:O64" si="2">IFERROR(ABS(N8-L8)/N8,0)</f>
        <v>8.3974598580491087E-3</v>
      </c>
      <c r="P8" s="858" t="str">
        <f t="shared" si="1"/>
        <v/>
      </c>
    </row>
    <row r="9" spans="1:28" ht="15.75">
      <c r="A9" s="795"/>
      <c r="B9" s="796"/>
      <c r="C9" s="83" t="s">
        <v>81</v>
      </c>
      <c r="D9" s="764" t="s">
        <v>80</v>
      </c>
      <c r="E9" s="85">
        <f>SUM('Adjusted jurisdiction data'!E12,'Adjusted jurisdiction data'!E87,'Adjusted jurisdiction data'!E162,'Adjusted jurisdiction data'!E237,'Adjusted jurisdiction data'!E312,'Adjusted jurisdiction data'!E387,'Adjusted jurisdiction data'!E462,'Adjusted jurisdiction data'!E537)</f>
        <v>44.185206833169175</v>
      </c>
      <c r="F9" s="85">
        <f>SUM('Adjusted jurisdiction data'!F12,'Adjusted jurisdiction data'!F87,'Adjusted jurisdiction data'!F162,'Adjusted jurisdiction data'!F237,'Adjusted jurisdiction data'!F312,'Adjusted jurisdiction data'!F387,'Adjusted jurisdiction data'!F462,'Adjusted jurisdiction data'!F537)</f>
        <v>63.52144778136897</v>
      </c>
      <c r="G9" s="84"/>
      <c r="H9" s="86" t="s">
        <v>328</v>
      </c>
      <c r="I9" s="87" t="s">
        <v>130</v>
      </c>
      <c r="J9" s="85">
        <f>SUM('Adjusted jurisdiction data'!J12,'Adjusted jurisdiction data'!J87,'Adjusted jurisdiction data'!J162,'Adjusted jurisdiction data'!J237,'Adjusted jurisdiction data'!J312,'Adjusted jurisdiction data'!J387,'Adjusted jurisdiction data'!J462,'Adjusted jurisdiction data'!J537)</f>
        <v>2598.9448563737433</v>
      </c>
      <c r="K9" s="85">
        <f>SUM('Adjusted jurisdiction data'!K12,'Adjusted jurisdiction data'!K87,'Adjusted jurisdiction data'!K162,'Adjusted jurisdiction data'!K237,'Adjusted jurisdiction data'!K312,'Adjusted jurisdiction data'!K387,'Adjusted jurisdiction data'!K462,'Adjusted jurisdiction data'!K537)</f>
        <v>2101.9524476274278</v>
      </c>
      <c r="L9" s="791">
        <f t="shared" si="0"/>
        <v>4700.8973040011715</v>
      </c>
      <c r="N9" s="867">
        <v>5426.3106009469302</v>
      </c>
      <c r="O9" s="868">
        <f t="shared" si="2"/>
        <v>0.13368444055140685</v>
      </c>
      <c r="P9" s="858" t="str">
        <f t="shared" si="1"/>
        <v/>
      </c>
    </row>
    <row r="10" spans="1:28" ht="15.75">
      <c r="A10" s="797" t="s">
        <v>5</v>
      </c>
      <c r="B10" s="764" t="s">
        <v>6</v>
      </c>
      <c r="C10" s="83" t="s">
        <v>7</v>
      </c>
      <c r="D10" s="764" t="s">
        <v>82</v>
      </c>
      <c r="E10" s="85">
        <f>SUM('Adjusted jurisdiction data'!E13,'Adjusted jurisdiction data'!E88,'Adjusted jurisdiction data'!E163,'Adjusted jurisdiction data'!E238,'Adjusted jurisdiction data'!E313,'Adjusted jurisdiction data'!E388,'Adjusted jurisdiction data'!E463,'Adjusted jurisdiction data'!E538)</f>
        <v>27755.098168767094</v>
      </c>
      <c r="F10" s="85">
        <f>SUM('Adjusted jurisdiction data'!F13,'Adjusted jurisdiction data'!F88,'Adjusted jurisdiction data'!F163,'Adjusted jurisdiction data'!F238,'Adjusted jurisdiction data'!F313,'Adjusted jurisdiction data'!F388,'Adjusted jurisdiction data'!F463,'Adjusted jurisdiction data'!F538)</f>
        <v>30068.485120779773</v>
      </c>
      <c r="G10" s="84"/>
      <c r="H10" s="86" t="s">
        <v>329</v>
      </c>
      <c r="I10" s="87" t="s">
        <v>330</v>
      </c>
      <c r="J10" s="85">
        <f>SUM('Adjusted jurisdiction data'!J13,'Adjusted jurisdiction data'!J88,'Adjusted jurisdiction data'!J163,'Adjusted jurisdiction data'!J238,'Adjusted jurisdiction data'!J313,'Adjusted jurisdiction data'!J388,'Adjusted jurisdiction data'!J463,'Adjusted jurisdiction data'!J538)</f>
        <v>1259.0002721587052</v>
      </c>
      <c r="K10" s="85">
        <f>SUM('Adjusted jurisdiction data'!K13,'Adjusted jurisdiction data'!K88,'Adjusted jurisdiction data'!K163,'Adjusted jurisdiction data'!K238,'Adjusted jurisdiction data'!K313,'Adjusted jurisdiction data'!K388,'Adjusted jurisdiction data'!K463,'Adjusted jurisdiction data'!K538)</f>
        <v>2477.6246086280362</v>
      </c>
      <c r="L10" s="791">
        <f t="shared" si="0"/>
        <v>3736.6248807867414</v>
      </c>
      <c r="N10" s="867">
        <v>2740.3506859999998</v>
      </c>
      <c r="O10" s="868">
        <f t="shared" si="2"/>
        <v>0.36355718991607255</v>
      </c>
      <c r="P10" s="858" t="str">
        <f t="shared" si="1"/>
        <v/>
      </c>
    </row>
    <row r="11" spans="1:28" ht="15.75">
      <c r="A11" s="797" t="s">
        <v>8</v>
      </c>
      <c r="B11" s="764" t="s">
        <v>140</v>
      </c>
      <c r="C11" s="83" t="s">
        <v>9</v>
      </c>
      <c r="D11" s="764" t="s">
        <v>83</v>
      </c>
      <c r="E11" s="85">
        <f>SUM('Adjusted jurisdiction data'!E14,'Adjusted jurisdiction data'!E89,'Adjusted jurisdiction data'!E164,'Adjusted jurisdiction data'!E239,'Adjusted jurisdiction data'!E314,'Adjusted jurisdiction data'!E389,'Adjusted jurisdiction data'!E464,'Adjusted jurisdiction data'!E539)</f>
        <v>194493.35506438164</v>
      </c>
      <c r="F11" s="85">
        <f>SUM('Adjusted jurisdiction data'!F14,'Adjusted jurisdiction data'!F89,'Adjusted jurisdiction data'!F164,'Adjusted jurisdiction data'!F239,'Adjusted jurisdiction data'!F314,'Adjusted jurisdiction data'!F389,'Adjusted jurisdiction data'!F464,'Adjusted jurisdiction data'!F539)</f>
        <v>138062.19764158994</v>
      </c>
      <c r="G11" s="84"/>
      <c r="H11" s="86" t="s">
        <v>331</v>
      </c>
      <c r="I11" s="87" t="s">
        <v>332</v>
      </c>
      <c r="J11" s="85">
        <f>SUM('Adjusted jurisdiction data'!J14,'Adjusted jurisdiction data'!J89,'Adjusted jurisdiction data'!J164,'Adjusted jurisdiction data'!J239,'Adjusted jurisdiction data'!J314,'Adjusted jurisdiction data'!J389,'Adjusted jurisdiction data'!J464,'Adjusted jurisdiction data'!J539)</f>
        <v>126.78200000000001</v>
      </c>
      <c r="K11" s="85">
        <f>SUM('Adjusted jurisdiction data'!K14,'Adjusted jurisdiction data'!K89,'Adjusted jurisdiction data'!K164,'Adjusted jurisdiction data'!K239,'Adjusted jurisdiction data'!K314,'Adjusted jurisdiction data'!K389,'Adjusted jurisdiction data'!K464,'Adjusted jurisdiction data'!K539)</f>
        <v>108.97500099999999</v>
      </c>
      <c r="L11" s="791">
        <f t="shared" si="0"/>
        <v>235.757001</v>
      </c>
      <c r="N11" s="867">
        <v>569.58399999999995</v>
      </c>
      <c r="O11" s="868">
        <f t="shared" si="2"/>
        <v>0.58608914400685408</v>
      </c>
      <c r="P11" s="858" t="str">
        <f t="shared" si="1"/>
        <v/>
      </c>
    </row>
    <row r="12" spans="1:28" ht="15.75">
      <c r="A12" s="798" t="s">
        <v>10</v>
      </c>
      <c r="B12" s="790" t="s">
        <v>11</v>
      </c>
      <c r="C12" s="83" t="s">
        <v>12</v>
      </c>
      <c r="D12" s="764" t="s">
        <v>84</v>
      </c>
      <c r="E12" s="85">
        <f>SUM('Adjusted jurisdiction data'!E15,'Adjusted jurisdiction data'!E90,'Adjusted jurisdiction data'!E165,'Adjusted jurisdiction data'!E240,'Adjusted jurisdiction data'!E315,'Adjusted jurisdiction data'!E390,'Adjusted jurisdiction data'!E465,'Adjusted jurisdiction data'!E540)</f>
        <v>75.213001046744608</v>
      </c>
      <c r="F12" s="85">
        <f>SUM('Adjusted jurisdiction data'!F15,'Adjusted jurisdiction data'!F90,'Adjusted jurisdiction data'!F165,'Adjusted jurisdiction data'!F240,'Adjusted jurisdiction data'!F315,'Adjusted jurisdiction data'!F390,'Adjusted jurisdiction data'!F465,'Adjusted jurisdiction data'!F540)</f>
        <v>64.484891440529964</v>
      </c>
      <c r="G12" s="84"/>
      <c r="H12" s="86" t="s">
        <v>333</v>
      </c>
      <c r="I12" s="87" t="s">
        <v>334</v>
      </c>
      <c r="J12" s="85">
        <f>SUM('Adjusted jurisdiction data'!J15,'Adjusted jurisdiction data'!J90,'Adjusted jurisdiction data'!J165,'Adjusted jurisdiction data'!J240,'Adjusted jurisdiction data'!J315,'Adjusted jurisdiction data'!J390,'Adjusted jurisdiction data'!J465,'Adjusted jurisdiction data'!J540)</f>
        <v>2901.5006139774264</v>
      </c>
      <c r="K12" s="85">
        <f>SUM('Adjusted jurisdiction data'!K15,'Adjusted jurisdiction data'!K90,'Adjusted jurisdiction data'!K165,'Adjusted jurisdiction data'!K240,'Adjusted jurisdiction data'!K315,'Adjusted jurisdiction data'!K390,'Adjusted jurisdiction data'!K465,'Adjusted jurisdiction data'!K540)</f>
        <v>1810.7253084629879</v>
      </c>
      <c r="L12" s="791">
        <f t="shared" si="0"/>
        <v>4712.2259224404143</v>
      </c>
      <c r="N12" s="867">
        <v>13730.4575</v>
      </c>
      <c r="O12" s="868">
        <f t="shared" si="2"/>
        <v>0.65680488633096057</v>
      </c>
      <c r="P12" s="858" t="str">
        <f t="shared" si="1"/>
        <v/>
      </c>
    </row>
    <row r="13" spans="1:28" ht="15.75">
      <c r="A13" s="799"/>
      <c r="B13" s="793"/>
      <c r="C13" s="83" t="s">
        <v>13</v>
      </c>
      <c r="D13" s="764" t="s">
        <v>85</v>
      </c>
      <c r="E13" s="85">
        <f>SUM('Adjusted jurisdiction data'!E16,'Adjusted jurisdiction data'!E91,'Adjusted jurisdiction data'!E166,'Adjusted jurisdiction data'!E241,'Adjusted jurisdiction data'!E316,'Adjusted jurisdiction data'!E391,'Adjusted jurisdiction data'!E466,'Adjusted jurisdiction data'!E541)</f>
        <v>17117.702818189318</v>
      </c>
      <c r="F13" s="85">
        <f>SUM('Adjusted jurisdiction data'!F16,'Adjusted jurisdiction data'!F91,'Adjusted jurisdiction data'!F166,'Adjusted jurisdiction data'!F241,'Adjusted jurisdiction data'!F316,'Adjusted jurisdiction data'!F391,'Adjusted jurisdiction data'!F466,'Adjusted jurisdiction data'!F541)</f>
        <v>15222.911365973743</v>
      </c>
      <c r="G13" s="84"/>
      <c r="H13" s="86" t="s">
        <v>335</v>
      </c>
      <c r="I13" s="87" t="s">
        <v>336</v>
      </c>
      <c r="J13" s="85">
        <f>SUM('Adjusted jurisdiction data'!J16,'Adjusted jurisdiction data'!J91,'Adjusted jurisdiction data'!J166,'Adjusted jurisdiction data'!J241,'Adjusted jurisdiction data'!J316,'Adjusted jurisdiction data'!J391,'Adjusted jurisdiction data'!J466,'Adjusted jurisdiction data'!J541)</f>
        <v>42.74</v>
      </c>
      <c r="K13" s="85">
        <f>SUM('Adjusted jurisdiction data'!K16,'Adjusted jurisdiction data'!K91,'Adjusted jurisdiction data'!K166,'Adjusted jurisdiction data'!K241,'Adjusted jurisdiction data'!K316,'Adjusted jurisdiction data'!K391,'Adjusted jurisdiction data'!K466,'Adjusted jurisdiction data'!K541)</f>
        <v>2.1600010000000003</v>
      </c>
      <c r="L13" s="791">
        <f t="shared" si="0"/>
        <v>44.900001000000003</v>
      </c>
      <c r="N13" s="867">
        <v>13.151853066999999</v>
      </c>
      <c r="O13" s="868">
        <f t="shared" si="2"/>
        <v>2.4139676569730648</v>
      </c>
      <c r="P13" s="858" t="str">
        <f t="shared" si="1"/>
        <v/>
      </c>
    </row>
    <row r="14" spans="1:28" ht="15.75">
      <c r="A14" s="799"/>
      <c r="B14" s="793"/>
      <c r="C14" s="83" t="s">
        <v>14</v>
      </c>
      <c r="D14" s="764" t="s">
        <v>86</v>
      </c>
      <c r="E14" s="85">
        <f>SUM('Adjusted jurisdiction data'!E17,'Adjusted jurisdiction data'!E92,'Adjusted jurisdiction data'!E167,'Adjusted jurisdiction data'!E242,'Adjusted jurisdiction data'!E317,'Adjusted jurisdiction data'!E392,'Adjusted jurisdiction data'!E467,'Adjusted jurisdiction data'!E542)</f>
        <v>609.10593173259292</v>
      </c>
      <c r="F14" s="85">
        <f>SUM('Adjusted jurisdiction data'!F17,'Adjusted jurisdiction data'!F92,'Adjusted jurisdiction data'!F167,'Adjusted jurisdiction data'!F242,'Adjusted jurisdiction data'!F317,'Adjusted jurisdiction data'!F392,'Adjusted jurisdiction data'!F467,'Adjusted jurisdiction data'!F542)</f>
        <v>1282.8024917068092</v>
      </c>
      <c r="G14" s="84"/>
      <c r="H14" s="86" t="s">
        <v>337</v>
      </c>
      <c r="I14" s="87" t="s">
        <v>322</v>
      </c>
      <c r="J14" s="85">
        <f>SUM('Adjusted jurisdiction data'!J17,'Adjusted jurisdiction data'!J92,'Adjusted jurisdiction data'!J167,'Adjusted jurisdiction data'!J242,'Adjusted jurisdiction data'!J317,'Adjusted jurisdiction data'!J392,'Adjusted jurisdiction data'!J467,'Adjusted jurisdiction data'!J542)</f>
        <v>76127.534775017557</v>
      </c>
      <c r="K14" s="85">
        <f>SUM('Adjusted jurisdiction data'!K17,'Adjusted jurisdiction data'!K92,'Adjusted jurisdiction data'!K167,'Adjusted jurisdiction data'!K242,'Adjusted jurisdiction data'!K317,'Adjusted jurisdiction data'!K392,'Adjusted jurisdiction data'!K467,'Adjusted jurisdiction data'!K542)</f>
        <v>73540.186067197021</v>
      </c>
      <c r="L14" s="791">
        <f t="shared" si="0"/>
        <v>149667.72084221459</v>
      </c>
      <c r="N14" s="867">
        <v>240630.35572274233</v>
      </c>
      <c r="O14" s="868">
        <f t="shared" si="2"/>
        <v>0.37801812081155778</v>
      </c>
      <c r="P14" s="858" t="str">
        <f t="shared" si="1"/>
        <v/>
      </c>
    </row>
    <row r="15" spans="1:28" ht="15.75">
      <c r="A15" s="799"/>
      <c r="B15" s="793"/>
      <c r="C15" s="83" t="s">
        <v>15</v>
      </c>
      <c r="D15" s="764" t="s">
        <v>87</v>
      </c>
      <c r="E15" s="85">
        <f>SUM('Adjusted jurisdiction data'!E18,'Adjusted jurisdiction data'!E93,'Adjusted jurisdiction data'!E168,'Adjusted jurisdiction data'!E243,'Adjusted jurisdiction data'!E318,'Adjusted jurisdiction data'!E393,'Adjusted jurisdiction data'!E468,'Adjusted jurisdiction data'!E543)</f>
        <v>455.74701574907203</v>
      </c>
      <c r="F15" s="85">
        <f>SUM('Adjusted jurisdiction data'!F18,'Adjusted jurisdiction data'!F93,'Adjusted jurisdiction data'!F168,'Adjusted jurisdiction data'!F243,'Adjusted jurisdiction data'!F318,'Adjusted jurisdiction data'!F393,'Adjusted jurisdiction data'!F468,'Adjusted jurisdiction data'!F543)</f>
        <v>92.63737046698202</v>
      </c>
      <c r="G15" s="84"/>
      <c r="H15" s="86" t="s">
        <v>338</v>
      </c>
      <c r="I15" s="87" t="s">
        <v>339</v>
      </c>
      <c r="J15" s="85">
        <f>SUM('Adjusted jurisdiction data'!J18,'Adjusted jurisdiction data'!J93,'Adjusted jurisdiction data'!J168,'Adjusted jurisdiction data'!J243,'Adjusted jurisdiction data'!J318,'Adjusted jurisdiction data'!J393,'Adjusted jurisdiction data'!J468,'Adjusted jurisdiction data'!J543)</f>
        <v>196308.21572209569</v>
      </c>
      <c r="K15" s="85">
        <f>SUM('Adjusted jurisdiction data'!K18,'Adjusted jurisdiction data'!K93,'Adjusted jurisdiction data'!K168,'Adjusted jurisdiction data'!K243,'Adjusted jurisdiction data'!K318,'Adjusted jurisdiction data'!K393,'Adjusted jurisdiction data'!K468,'Adjusted jurisdiction data'!K543)</f>
        <v>187804.29256813473</v>
      </c>
      <c r="L15" s="791">
        <f t="shared" si="0"/>
        <v>384112.50829023041</v>
      </c>
      <c r="N15" s="867">
        <v>416523.16227416834</v>
      </c>
      <c r="O15" s="868">
        <f t="shared" si="2"/>
        <v>7.7812368961619083E-2</v>
      </c>
      <c r="P15" s="858" t="str">
        <f t="shared" si="1"/>
        <v/>
      </c>
    </row>
    <row r="16" spans="1:28" ht="15.75">
      <c r="A16" s="799"/>
      <c r="B16" s="793"/>
      <c r="C16" s="83" t="s">
        <v>16</v>
      </c>
      <c r="D16" s="764" t="s">
        <v>88</v>
      </c>
      <c r="E16" s="85">
        <f>SUM('Adjusted jurisdiction data'!E19,'Adjusted jurisdiction data'!E94,'Adjusted jurisdiction data'!E169,'Adjusted jurisdiction data'!E244,'Adjusted jurisdiction data'!E319,'Adjusted jurisdiction data'!E394,'Adjusted jurisdiction data'!E469,'Adjusted jurisdiction data'!E544)</f>
        <v>620.56833738051978</v>
      </c>
      <c r="F16" s="85">
        <f>SUM('Adjusted jurisdiction data'!F19,'Adjusted jurisdiction data'!F94,'Adjusted jurisdiction data'!F169,'Adjusted jurisdiction data'!F244,'Adjusted jurisdiction data'!F319,'Adjusted jurisdiction data'!F394,'Adjusted jurisdiction data'!F469,'Adjusted jurisdiction data'!F544)</f>
        <v>763.64198358342514</v>
      </c>
      <c r="G16" s="84"/>
      <c r="H16" s="86" t="s">
        <v>340</v>
      </c>
      <c r="I16" s="87" t="s">
        <v>341</v>
      </c>
      <c r="J16" s="85">
        <f>SUM('Adjusted jurisdiction data'!J19,'Adjusted jurisdiction data'!J94,'Adjusted jurisdiction data'!J169,'Adjusted jurisdiction data'!J244,'Adjusted jurisdiction data'!J319,'Adjusted jurisdiction data'!J394,'Adjusted jurisdiction data'!J469,'Adjusted jurisdiction data'!J544)</f>
        <v>2644.794454645255</v>
      </c>
      <c r="K16" s="85">
        <f>SUM('Adjusted jurisdiction data'!K19,'Adjusted jurisdiction data'!K94,'Adjusted jurisdiction data'!K169,'Adjusted jurisdiction data'!K244,'Adjusted jurisdiction data'!K319,'Adjusted jurisdiction data'!K394,'Adjusted jurisdiction data'!K469,'Adjusted jurisdiction data'!K544)</f>
        <v>20036.617305247131</v>
      </c>
      <c r="L16" s="791">
        <f>SUM(J16:K16)</f>
        <v>22681.411759892388</v>
      </c>
      <c r="N16" s="867">
        <v>4142.1117524509837</v>
      </c>
      <c r="O16" s="868">
        <f t="shared" si="2"/>
        <v>4.475808745737309</v>
      </c>
      <c r="P16" s="858" t="str">
        <f t="shared" si="1"/>
        <v>Yes</v>
      </c>
      <c r="Q16" s="860" t="s">
        <v>1035</v>
      </c>
    </row>
    <row r="17" spans="1:16" ht="15.75">
      <c r="A17" s="799"/>
      <c r="B17" s="793"/>
      <c r="C17" s="83" t="s">
        <v>17</v>
      </c>
      <c r="D17" s="764" t="s">
        <v>89</v>
      </c>
      <c r="E17" s="85">
        <f>SUM('Adjusted jurisdiction data'!E20,'Adjusted jurisdiction data'!E95,'Adjusted jurisdiction data'!E170,'Adjusted jurisdiction data'!E245,'Adjusted jurisdiction data'!E320,'Adjusted jurisdiction data'!E395,'Adjusted jurisdiction data'!E470,'Adjusted jurisdiction data'!E545)</f>
        <v>25.150174539954627</v>
      </c>
      <c r="F17" s="85">
        <f>SUM('Adjusted jurisdiction data'!F20,'Adjusted jurisdiction data'!F95,'Adjusted jurisdiction data'!F170,'Adjusted jurisdiction data'!F245,'Adjusted jurisdiction data'!F320,'Adjusted jurisdiction data'!F395,'Adjusted jurisdiction data'!F470,'Adjusted jurisdiction data'!F545)</f>
        <v>24.671577755986892</v>
      </c>
      <c r="G17" s="84"/>
      <c r="H17" s="86" t="s">
        <v>342</v>
      </c>
      <c r="I17" s="87" t="s">
        <v>343</v>
      </c>
      <c r="J17" s="85">
        <f>SUM('Adjusted jurisdiction data'!J20,'Adjusted jurisdiction data'!J95,'Adjusted jurisdiction data'!J170,'Adjusted jurisdiction data'!J245,'Adjusted jurisdiction data'!J320,'Adjusted jurisdiction data'!J395,'Adjusted jurisdiction data'!J470,'Adjusted jurisdiction data'!J545)</f>
        <v>4059.0553407461589</v>
      </c>
      <c r="K17" s="85">
        <f>SUM('Adjusted jurisdiction data'!K20,'Adjusted jurisdiction data'!K95,'Adjusted jurisdiction data'!K170,'Adjusted jurisdiction data'!K245,'Adjusted jurisdiction data'!K320,'Adjusted jurisdiction data'!K395,'Adjusted jurisdiction data'!K470,'Adjusted jurisdiction data'!K545)</f>
        <v>1824.6367868632224</v>
      </c>
      <c r="L17" s="791">
        <f t="shared" ref="L17:L64" si="3">SUM(J17:K17)</f>
        <v>5883.6921276093817</v>
      </c>
      <c r="N17" s="867">
        <v>27599.106401487064</v>
      </c>
      <c r="O17" s="868">
        <f t="shared" si="2"/>
        <v>0.78681584678798289</v>
      </c>
      <c r="P17" s="858" t="str">
        <f t="shared" si="1"/>
        <v/>
      </c>
    </row>
    <row r="18" spans="1:16" ht="15.75">
      <c r="A18" s="799"/>
      <c r="B18" s="793"/>
      <c r="C18" s="83" t="s">
        <v>18</v>
      </c>
      <c r="D18" s="764" t="s">
        <v>90</v>
      </c>
      <c r="E18" s="85">
        <f>SUM('Adjusted jurisdiction data'!E21,'Adjusted jurisdiction data'!E96,'Adjusted jurisdiction data'!E171,'Adjusted jurisdiction data'!E246,'Adjusted jurisdiction data'!E321,'Adjusted jurisdiction data'!E396,'Adjusted jurisdiction data'!E471,'Adjusted jurisdiction data'!E546)</f>
        <v>8.1597885541424873</v>
      </c>
      <c r="F18" s="85">
        <f>SUM('Adjusted jurisdiction data'!F21,'Adjusted jurisdiction data'!F96,'Adjusted jurisdiction data'!F171,'Adjusted jurisdiction data'!F246,'Adjusted jurisdiction data'!F321,'Adjusted jurisdiction data'!F396,'Adjusted jurisdiction data'!F471,'Adjusted jurisdiction data'!F546)</f>
        <v>22.319043968267685</v>
      </c>
      <c r="G18" s="84"/>
      <c r="H18" s="86" t="s">
        <v>344</v>
      </c>
      <c r="I18" s="87" t="s">
        <v>345</v>
      </c>
      <c r="J18" s="85">
        <f>SUM('Adjusted jurisdiction data'!J21,'Adjusted jurisdiction data'!J96,'Adjusted jurisdiction data'!J171,'Adjusted jurisdiction data'!J246,'Adjusted jurisdiction data'!J321,'Adjusted jurisdiction data'!J396,'Adjusted jurisdiction data'!J471,'Adjusted jurisdiction data'!J546)</f>
        <v>15232.857041726849</v>
      </c>
      <c r="K18" s="85">
        <f>SUM('Adjusted jurisdiction data'!K21,'Adjusted jurisdiction data'!K96,'Adjusted jurisdiction data'!K171,'Adjusted jurisdiction data'!K246,'Adjusted jurisdiction data'!K321,'Adjusted jurisdiction data'!K396,'Adjusted jurisdiction data'!K471,'Adjusted jurisdiction data'!K546)</f>
        <v>17942.095214657897</v>
      </c>
      <c r="L18" s="791">
        <f t="shared" si="3"/>
        <v>33174.952256384742</v>
      </c>
      <c r="N18" s="867">
        <v>44109.758084655805</v>
      </c>
      <c r="O18" s="868">
        <f t="shared" si="2"/>
        <v>0.24789992743294795</v>
      </c>
      <c r="P18" s="858" t="str">
        <f t="shared" si="1"/>
        <v/>
      </c>
    </row>
    <row r="19" spans="1:16" ht="15.75">
      <c r="A19" s="799"/>
      <c r="B19" s="793"/>
      <c r="C19" s="83" t="s">
        <v>19</v>
      </c>
      <c r="D19" s="764" t="s">
        <v>141</v>
      </c>
      <c r="E19" s="85">
        <f>SUM('Adjusted jurisdiction data'!E22,'Adjusted jurisdiction data'!E97,'Adjusted jurisdiction data'!E172,'Adjusted jurisdiction data'!E247,'Adjusted jurisdiction data'!E322,'Adjusted jurisdiction data'!E397,'Adjusted jurisdiction data'!E472,'Adjusted jurisdiction data'!E547)</f>
        <v>19.579999999999998</v>
      </c>
      <c r="F19" s="85">
        <f>SUM('Adjusted jurisdiction data'!F22,'Adjusted jurisdiction data'!F97,'Adjusted jurisdiction data'!F172,'Adjusted jurisdiction data'!F247,'Adjusted jurisdiction data'!F322,'Adjusted jurisdiction data'!F397,'Adjusted jurisdiction data'!F472,'Adjusted jurisdiction data'!F547)</f>
        <v>0.24000099999999999</v>
      </c>
      <c r="G19" s="84"/>
      <c r="H19" s="86" t="s">
        <v>346</v>
      </c>
      <c r="I19" s="87" t="s">
        <v>347</v>
      </c>
      <c r="J19" s="85">
        <f>SUM('Adjusted jurisdiction data'!J22,'Adjusted jurisdiction data'!J97,'Adjusted jurisdiction data'!J172,'Adjusted jurisdiction data'!J247,'Adjusted jurisdiction data'!J322,'Adjusted jurisdiction data'!J397,'Adjusted jurisdiction data'!J472,'Adjusted jurisdiction data'!J547)</f>
        <v>2675.1409668432457</v>
      </c>
      <c r="K19" s="85">
        <f>SUM('Adjusted jurisdiction data'!K22,'Adjusted jurisdiction data'!K97,'Adjusted jurisdiction data'!K172,'Adjusted jurisdiction data'!K247,'Adjusted jurisdiction data'!K322,'Adjusted jurisdiction data'!K397,'Adjusted jurisdiction data'!K472,'Adjusted jurisdiction data'!K547)</f>
        <v>3566.1424478510053</v>
      </c>
      <c r="L19" s="791">
        <f t="shared" si="3"/>
        <v>6241.2834146942514</v>
      </c>
      <c r="N19" s="867">
        <v>4791.861888866777</v>
      </c>
      <c r="O19" s="868">
        <f t="shared" si="2"/>
        <v>0.30247564713728564</v>
      </c>
      <c r="P19" s="858" t="str">
        <f t="shared" si="1"/>
        <v/>
      </c>
    </row>
    <row r="20" spans="1:16" ht="15.75">
      <c r="A20" s="799"/>
      <c r="B20" s="793"/>
      <c r="C20" s="83" t="s">
        <v>142</v>
      </c>
      <c r="D20" s="764" t="s">
        <v>143</v>
      </c>
      <c r="E20" s="85">
        <f>SUM('Adjusted jurisdiction data'!E23,'Adjusted jurisdiction data'!E98,'Adjusted jurisdiction data'!E173,'Adjusted jurisdiction data'!E248,'Adjusted jurisdiction data'!E323,'Adjusted jurisdiction data'!E398,'Adjusted jurisdiction data'!E473,'Adjusted jurisdiction data'!E548)</f>
        <v>0</v>
      </c>
      <c r="F20" s="85">
        <f>SUM('Adjusted jurisdiction data'!F23,'Adjusted jurisdiction data'!F98,'Adjusted jurisdiction data'!F173,'Adjusted jurisdiction data'!F248,'Adjusted jurisdiction data'!F323,'Adjusted jurisdiction data'!F398,'Adjusted jurisdiction data'!F473,'Adjusted jurisdiction data'!F548)</f>
        <v>6.6666666666666671E-7</v>
      </c>
      <c r="G20" s="84"/>
      <c r="H20" s="86" t="s">
        <v>348</v>
      </c>
      <c r="I20" s="87" t="s">
        <v>349</v>
      </c>
      <c r="J20" s="85">
        <f>SUM('Adjusted jurisdiction data'!J23,'Adjusted jurisdiction data'!J98,'Adjusted jurisdiction data'!J173,'Adjusted jurisdiction data'!J248,'Adjusted jurisdiction data'!J323,'Adjusted jurisdiction data'!J398,'Adjusted jurisdiction data'!J473,'Adjusted jurisdiction data'!J548)</f>
        <v>1362.0055419098517</v>
      </c>
      <c r="K20" s="85">
        <f>SUM('Adjusted jurisdiction data'!K23,'Adjusted jurisdiction data'!K98,'Adjusted jurisdiction data'!K173,'Adjusted jurisdiction data'!K248,'Adjusted jurisdiction data'!K323,'Adjusted jurisdiction data'!K398,'Adjusted jurisdiction data'!K473,'Adjusted jurisdiction data'!K548)</f>
        <v>2015.2299800641783</v>
      </c>
      <c r="L20" s="791">
        <f t="shared" si="3"/>
        <v>3377.2355219740302</v>
      </c>
      <c r="N20" s="867">
        <v>5907.3088493122013</v>
      </c>
      <c r="O20" s="868">
        <f t="shared" si="2"/>
        <v>0.42829542044898367</v>
      </c>
      <c r="P20" s="858" t="str">
        <f t="shared" si="1"/>
        <v/>
      </c>
    </row>
    <row r="21" spans="1:16" ht="15.75">
      <c r="A21" s="799"/>
      <c r="B21" s="793"/>
      <c r="C21" s="83" t="s">
        <v>20</v>
      </c>
      <c r="D21" s="764" t="s">
        <v>91</v>
      </c>
      <c r="E21" s="85">
        <f>SUM('Adjusted jurisdiction data'!E24,'Adjusted jurisdiction data'!E99,'Adjusted jurisdiction data'!E174,'Adjusted jurisdiction data'!E249,'Adjusted jurisdiction data'!E324,'Adjusted jurisdiction data'!E399,'Adjusted jurisdiction data'!E474,'Adjusted jurisdiction data'!E549)</f>
        <v>1173.6828441434982</v>
      </c>
      <c r="F21" s="85">
        <f>SUM('Adjusted jurisdiction data'!F24,'Adjusted jurisdiction data'!F99,'Adjusted jurisdiction data'!F174,'Adjusted jurisdiction data'!F249,'Adjusted jurisdiction data'!F324,'Adjusted jurisdiction data'!F399,'Adjusted jurisdiction data'!F474,'Adjusted jurisdiction data'!F549)</f>
        <v>367.94794744865749</v>
      </c>
      <c r="G21" s="84"/>
      <c r="H21" s="86" t="s">
        <v>350</v>
      </c>
      <c r="I21" s="87" t="s">
        <v>351</v>
      </c>
      <c r="J21" s="85">
        <f>SUM('Adjusted jurisdiction data'!J24,'Adjusted jurisdiction data'!J99,'Adjusted jurisdiction data'!J174,'Adjusted jurisdiction data'!J249,'Adjusted jurisdiction data'!J324,'Adjusted jurisdiction data'!J399,'Adjusted jurisdiction data'!J474,'Adjusted jurisdiction data'!J549)</f>
        <v>594.85921554782146</v>
      </c>
      <c r="K21" s="85">
        <f>SUM('Adjusted jurisdiction data'!K24,'Adjusted jurisdiction data'!K99,'Adjusted jurisdiction data'!K174,'Adjusted jurisdiction data'!K249,'Adjusted jurisdiction data'!K324,'Adjusted jurisdiction data'!K399,'Adjusted jurisdiction data'!K474,'Adjusted jurisdiction data'!K549)</f>
        <v>544.57429953805615</v>
      </c>
      <c r="L21" s="791">
        <f t="shared" si="3"/>
        <v>1139.4335150858776</v>
      </c>
      <c r="N21" s="867">
        <v>2441.1719999999996</v>
      </c>
      <c r="O21" s="868">
        <f t="shared" si="2"/>
        <v>0.53324324747052732</v>
      </c>
      <c r="P21" s="858" t="str">
        <f t="shared" si="1"/>
        <v/>
      </c>
    </row>
    <row r="22" spans="1:16" ht="15.75">
      <c r="A22" s="799"/>
      <c r="B22" s="793"/>
      <c r="C22" s="83" t="s">
        <v>21</v>
      </c>
      <c r="D22" s="764" t="s">
        <v>144</v>
      </c>
      <c r="E22" s="85">
        <f>SUM('Adjusted jurisdiction data'!E25,'Adjusted jurisdiction data'!E100,'Adjusted jurisdiction data'!E175,'Adjusted jurisdiction data'!E250,'Adjusted jurisdiction data'!E325,'Adjusted jurisdiction data'!E400,'Adjusted jurisdiction data'!E475,'Adjusted jurisdiction data'!E550)</f>
        <v>5.0824999999999987</v>
      </c>
      <c r="F22" s="85">
        <f>SUM('Adjusted jurisdiction data'!F25,'Adjusted jurisdiction data'!F100,'Adjusted jurisdiction data'!F175,'Adjusted jurisdiction data'!F250,'Adjusted jurisdiction data'!F325,'Adjusted jurisdiction data'!F400,'Adjusted jurisdiction data'!F475,'Adjusted jurisdiction data'!F550)</f>
        <v>3.7499999999999992E-2</v>
      </c>
      <c r="G22" s="84"/>
      <c r="H22" s="86" t="s">
        <v>352</v>
      </c>
      <c r="I22" s="87" t="s">
        <v>353</v>
      </c>
      <c r="J22" s="85">
        <f>SUM('Adjusted jurisdiction data'!J25,'Adjusted jurisdiction data'!J100,'Adjusted jurisdiction data'!J175,'Adjusted jurisdiction data'!J250,'Adjusted jurisdiction data'!J325,'Adjusted jurisdiction data'!J400,'Adjusted jurisdiction data'!J475,'Adjusted jurisdiction data'!J550)</f>
        <v>383.1475359719268</v>
      </c>
      <c r="K22" s="85">
        <f>SUM('Adjusted jurisdiction data'!K25,'Adjusted jurisdiction data'!K100,'Adjusted jurisdiction data'!K175,'Adjusted jurisdiction data'!K250,'Adjusted jurisdiction data'!K325,'Adjusted jurisdiction data'!K400,'Adjusted jurisdiction data'!K475,'Adjusted jurisdiction data'!K550)</f>
        <v>390.19151207162798</v>
      </c>
      <c r="L22" s="864">
        <f t="shared" si="3"/>
        <v>773.33904804355484</v>
      </c>
      <c r="N22" s="867">
        <v>825.91304999999988</v>
      </c>
      <c r="O22" s="868">
        <f t="shared" si="2"/>
        <v>6.3655613573904729E-2</v>
      </c>
      <c r="P22" s="858" t="str">
        <f t="shared" si="1"/>
        <v/>
      </c>
    </row>
    <row r="23" spans="1:16" ht="15.75">
      <c r="A23" s="799"/>
      <c r="B23" s="793"/>
      <c r="C23" s="83" t="s">
        <v>22</v>
      </c>
      <c r="D23" s="764" t="s">
        <v>92</v>
      </c>
      <c r="E23" s="85">
        <f>SUM('Adjusted jurisdiction data'!E26,'Adjusted jurisdiction data'!E101,'Adjusted jurisdiction data'!E176,'Adjusted jurisdiction data'!E251,'Adjusted jurisdiction data'!E326,'Adjusted jurisdiction data'!E401,'Adjusted jurisdiction data'!E476,'Adjusted jurisdiction data'!E551)</f>
        <v>126.00385030099966</v>
      </c>
      <c r="F23" s="85">
        <f>SUM('Adjusted jurisdiction data'!F26,'Adjusted jurisdiction data'!F101,'Adjusted jurisdiction data'!F176,'Adjusted jurisdiction data'!F251,'Adjusted jurisdiction data'!F326,'Adjusted jurisdiction data'!F401,'Adjusted jurisdiction data'!F476,'Adjusted jurisdiction data'!F551)</f>
        <v>126.63987159650668</v>
      </c>
      <c r="G23" s="84"/>
      <c r="H23" s="86" t="s">
        <v>354</v>
      </c>
      <c r="I23" s="87" t="s">
        <v>355</v>
      </c>
      <c r="J23" s="85">
        <f>SUM('Adjusted jurisdiction data'!J26,'Adjusted jurisdiction data'!J101,'Adjusted jurisdiction data'!J176,'Adjusted jurisdiction data'!J251,'Adjusted jurisdiction data'!J326,'Adjusted jurisdiction data'!J401,'Adjusted jurisdiction data'!J476,'Adjusted jurisdiction data'!J551)</f>
        <v>3538.0479999999998</v>
      </c>
      <c r="K23" s="85">
        <f>SUM('Adjusted jurisdiction data'!K26,'Adjusted jurisdiction data'!K101,'Adjusted jurisdiction data'!K176,'Adjusted jurisdiction data'!K251,'Adjusted jurisdiction data'!K326,'Adjusted jurisdiction data'!K401,'Adjusted jurisdiction data'!K476,'Adjusted jurisdiction data'!K551)</f>
        <v>4573.5420010000034</v>
      </c>
      <c r="L23" s="864">
        <f t="shared" si="3"/>
        <v>8111.5900010000032</v>
      </c>
      <c r="N23" s="867">
        <v>5079.7963999999993</v>
      </c>
      <c r="O23" s="868">
        <f t="shared" si="2"/>
        <v>0.5968336843185299</v>
      </c>
      <c r="P23" s="858" t="str">
        <f t="shared" si="1"/>
        <v/>
      </c>
    </row>
    <row r="24" spans="1:16" ht="15.75">
      <c r="A24" s="799"/>
      <c r="B24" s="793"/>
      <c r="C24" s="83" t="s">
        <v>23</v>
      </c>
      <c r="D24" s="764" t="s">
        <v>93</v>
      </c>
      <c r="E24" s="85">
        <f>SUM('Adjusted jurisdiction data'!E27,'Adjusted jurisdiction data'!E102,'Adjusted jurisdiction data'!E177,'Adjusted jurisdiction data'!E252,'Adjusted jurisdiction data'!E327,'Adjusted jurisdiction data'!E402,'Adjusted jurisdiction data'!E477,'Adjusted jurisdiction data'!E552)</f>
        <v>192124.72936758646</v>
      </c>
      <c r="F24" s="85">
        <f>SUM('Adjusted jurisdiction data'!F27,'Adjusted jurisdiction data'!F102,'Adjusted jurisdiction data'!F177,'Adjusted jurisdiction data'!F252,'Adjusted jurisdiction data'!F327,'Adjusted jurisdiction data'!F402,'Adjusted jurisdiction data'!F477,'Adjusted jurisdiction data'!F552)</f>
        <v>142281.21459551301</v>
      </c>
      <c r="G24" s="84"/>
      <c r="H24" s="86" t="s">
        <v>356</v>
      </c>
      <c r="I24" s="87" t="s">
        <v>357</v>
      </c>
      <c r="J24" s="85">
        <f>SUM('Adjusted jurisdiction data'!J27,'Adjusted jurisdiction data'!J102,'Adjusted jurisdiction data'!J177,'Adjusted jurisdiction data'!J252,'Adjusted jurisdiction data'!J327,'Adjusted jurisdiction data'!J402,'Adjusted jurisdiction data'!J477,'Adjusted jurisdiction data'!J552)</f>
        <v>667815.28034290345</v>
      </c>
      <c r="K24" s="85">
        <f>SUM('Adjusted jurisdiction data'!K27,'Adjusted jurisdiction data'!K102,'Adjusted jurisdiction data'!K177,'Adjusted jurisdiction data'!K252,'Adjusted jurisdiction data'!K327,'Adjusted jurisdiction data'!K402,'Adjusted jurisdiction data'!K477,'Adjusted jurisdiction data'!K552)</f>
        <v>689468.16144413117</v>
      </c>
      <c r="L24" s="864">
        <f t="shared" si="3"/>
        <v>1357283.4417870347</v>
      </c>
      <c r="N24" s="867">
        <v>1830610.5331401669</v>
      </c>
      <c r="O24" s="868">
        <f t="shared" si="2"/>
        <v>0.25856242099798421</v>
      </c>
      <c r="P24" s="858" t="str">
        <f t="shared" si="1"/>
        <v/>
      </c>
    </row>
    <row r="25" spans="1:16">
      <c r="A25" s="799"/>
      <c r="B25" s="793"/>
      <c r="C25" s="83" t="s">
        <v>24</v>
      </c>
      <c r="D25" s="764" t="s">
        <v>94</v>
      </c>
      <c r="E25" s="85">
        <f>SUM('Adjusted jurisdiction data'!E28,'Adjusted jurisdiction data'!E103,'Adjusted jurisdiction data'!E178,'Adjusted jurisdiction data'!E253,'Adjusted jurisdiction data'!E328,'Adjusted jurisdiction data'!E403,'Adjusted jurisdiction data'!E478,'Adjusted jurisdiction data'!E553)</f>
        <v>98337.460999999996</v>
      </c>
      <c r="F25" s="85">
        <f>SUM('Adjusted jurisdiction data'!F28,'Adjusted jurisdiction data'!F103,'Adjusted jurisdiction data'!F178,'Adjusted jurisdiction data'!F253,'Adjusted jurisdiction data'!F328,'Adjusted jurisdiction data'!F403,'Adjusted jurisdiction data'!F478,'Adjusted jurisdiction data'!F553)</f>
        <v>99631.360000999994</v>
      </c>
      <c r="G25" s="84"/>
      <c r="H25" s="93"/>
      <c r="I25" s="409" t="s">
        <v>407</v>
      </c>
      <c r="J25" s="96"/>
      <c r="K25" s="96"/>
      <c r="L25" s="96"/>
      <c r="N25" s="869"/>
      <c r="O25" s="869"/>
    </row>
    <row r="26" spans="1:16" ht="15.75">
      <c r="A26" s="799"/>
      <c r="B26" s="793"/>
      <c r="C26" s="83" t="s">
        <v>25</v>
      </c>
      <c r="D26" s="764" t="s">
        <v>145</v>
      </c>
      <c r="E26" s="85">
        <f>SUM('Adjusted jurisdiction data'!E29,'Adjusted jurisdiction data'!E104,'Adjusted jurisdiction data'!E179,'Adjusted jurisdiction data'!E254,'Adjusted jurisdiction data'!E329,'Adjusted jurisdiction data'!E404,'Adjusted jurisdiction data'!E479,'Adjusted jurisdiction data'!E554)</f>
        <v>1</v>
      </c>
      <c r="F26" s="85">
        <f>SUM('Adjusted jurisdiction data'!F29,'Adjusted jurisdiction data'!F104,'Adjusted jurisdiction data'!F179,'Adjusted jurisdiction data'!F254,'Adjusted jurisdiction data'!F329,'Adjusted jurisdiction data'!F404,'Adjusted jurisdiction data'!F479,'Adjusted jurisdiction data'!F554)</f>
        <v>9.9999999999999995E-7</v>
      </c>
      <c r="G26" s="84"/>
      <c r="H26" s="86" t="s">
        <v>358</v>
      </c>
      <c r="I26" s="410" t="s">
        <v>84</v>
      </c>
      <c r="J26" s="85">
        <f>SUM('Adjusted jurisdiction data'!J29,'Adjusted jurisdiction data'!J104,'Adjusted jurisdiction data'!J179,'Adjusted jurisdiction data'!J254,'Adjusted jurisdiction data'!J329,'Adjusted jurisdiction data'!J404,'Adjusted jurisdiction data'!J479,'Adjusted jurisdiction data'!J554)</f>
        <v>75.213001046744608</v>
      </c>
      <c r="K26" s="85">
        <f>SUM('Adjusted jurisdiction data'!K29,'Adjusted jurisdiction data'!K104,'Adjusted jurisdiction data'!K179,'Adjusted jurisdiction data'!K254,'Adjusted jurisdiction data'!K329,'Adjusted jurisdiction data'!K404,'Adjusted jurisdiction data'!K479,'Adjusted jurisdiction data'!K554)</f>
        <v>64.484891440529964</v>
      </c>
      <c r="L26" s="864">
        <f t="shared" si="3"/>
        <v>139.69789248727457</v>
      </c>
      <c r="N26" s="867">
        <v>373.32444504623936</v>
      </c>
      <c r="O26" s="868">
        <f t="shared" si="2"/>
        <v>0.6258003076386498</v>
      </c>
      <c r="P26" s="858" t="str">
        <f t="shared" ref="P26:P52" si="4">IF(AND(O26&gt;T$5,L26&gt;T$6),"Yes","")</f>
        <v/>
      </c>
    </row>
    <row r="27" spans="1:16" ht="15.75">
      <c r="A27" s="799"/>
      <c r="B27" s="793"/>
      <c r="C27" s="83" t="s">
        <v>146</v>
      </c>
      <c r="D27" s="764" t="s">
        <v>147</v>
      </c>
      <c r="E27" s="85">
        <f>SUM('Adjusted jurisdiction data'!E30,'Adjusted jurisdiction data'!E105,'Adjusted jurisdiction data'!E180,'Adjusted jurisdiction data'!E255,'Adjusted jurisdiction data'!E330,'Adjusted jurisdiction data'!E405,'Adjusted jurisdiction data'!E480,'Adjusted jurisdiction data'!E555)</f>
        <v>0</v>
      </c>
      <c r="F27" s="85">
        <f>SUM('Adjusted jurisdiction data'!F30,'Adjusted jurisdiction data'!F105,'Adjusted jurisdiction data'!F180,'Adjusted jurisdiction data'!F255,'Adjusted jurisdiction data'!F330,'Adjusted jurisdiction data'!F405,'Adjusted jurisdiction data'!F480,'Adjusted jurisdiction data'!F555)</f>
        <v>10.220001</v>
      </c>
      <c r="G27" s="84"/>
      <c r="H27" s="86" t="s">
        <v>359</v>
      </c>
      <c r="I27" s="410" t="s">
        <v>90</v>
      </c>
      <c r="J27" s="85">
        <f>SUM('Adjusted jurisdiction data'!J30,'Adjusted jurisdiction data'!J105,'Adjusted jurisdiction data'!J180,'Adjusted jurisdiction data'!J255,'Adjusted jurisdiction data'!J330,'Adjusted jurisdiction data'!J405,'Adjusted jurisdiction data'!J480,'Adjusted jurisdiction data'!J555)</f>
        <v>8.1597885541424873</v>
      </c>
      <c r="K27" s="85">
        <f>SUM('Adjusted jurisdiction data'!K30,'Adjusted jurisdiction data'!K105,'Adjusted jurisdiction data'!K180,'Adjusted jurisdiction data'!K255,'Adjusted jurisdiction data'!K330,'Adjusted jurisdiction data'!K405,'Adjusted jurisdiction data'!K480,'Adjusted jurisdiction data'!K555)</f>
        <v>22.319043968267685</v>
      </c>
      <c r="L27" s="864">
        <f t="shared" si="3"/>
        <v>30.478832522410173</v>
      </c>
      <c r="N27" s="867">
        <v>5.3859999999999992</v>
      </c>
      <c r="O27" s="868">
        <f t="shared" si="2"/>
        <v>4.6588994657278455</v>
      </c>
      <c r="P27" s="858" t="str">
        <f t="shared" si="4"/>
        <v/>
      </c>
    </row>
    <row r="28" spans="1:16" ht="15.75">
      <c r="A28" s="799"/>
      <c r="B28" s="793"/>
      <c r="C28" s="83" t="s">
        <v>148</v>
      </c>
      <c r="D28" s="764" t="s">
        <v>149</v>
      </c>
      <c r="E28" s="85">
        <f>SUM('Adjusted jurisdiction data'!E31,'Adjusted jurisdiction data'!E106,'Adjusted jurisdiction data'!E181,'Adjusted jurisdiction data'!E256,'Adjusted jurisdiction data'!E331,'Adjusted jurisdiction data'!E406,'Adjusted jurisdiction data'!E481,'Adjusted jurisdiction data'!E556)</f>
        <v>85.4</v>
      </c>
      <c r="F28" s="85">
        <f>SUM('Adjusted jurisdiction data'!F31,'Adjusted jurisdiction data'!F106,'Adjusted jurisdiction data'!F181,'Adjusted jurisdiction data'!F256,'Adjusted jurisdiction data'!F331,'Adjusted jurisdiction data'!F406,'Adjusted jurisdiction data'!F481,'Adjusted jurisdiction data'!F556)</f>
        <v>12.800001</v>
      </c>
      <c r="G28" s="84"/>
      <c r="H28" s="86" t="s">
        <v>360</v>
      </c>
      <c r="I28" s="410" t="s">
        <v>361</v>
      </c>
      <c r="J28" s="85">
        <f>SUM('Adjusted jurisdiction data'!J31,'Adjusted jurisdiction data'!J106,'Adjusted jurisdiction data'!J181,'Adjusted jurisdiction data'!J256,'Adjusted jurisdiction data'!J331,'Adjusted jurisdiction data'!J406,'Adjusted jurisdiction data'!J481,'Adjusted jurisdiction data'!J556)</f>
        <v>620.56833738051978</v>
      </c>
      <c r="K28" s="85">
        <f>SUM('Adjusted jurisdiction data'!K31,'Adjusted jurisdiction data'!K106,'Adjusted jurisdiction data'!K181,'Adjusted jurisdiction data'!K256,'Adjusted jurisdiction data'!K331,'Adjusted jurisdiction data'!K406,'Adjusted jurisdiction data'!K481,'Adjusted jurisdiction data'!K556)</f>
        <v>763.64198358342514</v>
      </c>
      <c r="L28" s="864">
        <f t="shared" si="3"/>
        <v>1384.2103209639449</v>
      </c>
      <c r="N28" s="867">
        <v>1630.1113</v>
      </c>
      <c r="O28" s="868">
        <f t="shared" si="2"/>
        <v>0.15084919602486965</v>
      </c>
      <c r="P28" s="858" t="str">
        <f t="shared" si="4"/>
        <v/>
      </c>
    </row>
    <row r="29" spans="1:16" ht="15.75">
      <c r="A29" s="799"/>
      <c r="B29" s="793"/>
      <c r="C29" s="83" t="s">
        <v>26</v>
      </c>
      <c r="D29" s="764" t="s">
        <v>150</v>
      </c>
      <c r="E29" s="85">
        <f>SUM('Adjusted jurisdiction data'!E32,'Adjusted jurisdiction data'!E107,'Adjusted jurisdiction data'!E182,'Adjusted jurisdiction data'!E257,'Adjusted jurisdiction data'!E332,'Adjusted jurisdiction data'!E407,'Adjusted jurisdiction data'!E482,'Adjusted jurisdiction data'!E557)</f>
        <v>1E-3</v>
      </c>
      <c r="F29" s="85">
        <f>SUM('Adjusted jurisdiction data'!F32,'Adjusted jurisdiction data'!F107,'Adjusted jurisdiction data'!F182,'Adjusted jurisdiction data'!F257,'Adjusted jurisdiction data'!F332,'Adjusted jurisdiction data'!F407,'Adjusted jurisdiction data'!F482,'Adjusted jurisdiction data'!F557)</f>
        <v>2.2875301363636362</v>
      </c>
      <c r="G29" s="84"/>
      <c r="H29" s="86" t="s">
        <v>362</v>
      </c>
      <c r="I29" s="410" t="s">
        <v>91</v>
      </c>
      <c r="J29" s="85">
        <f>SUM('Adjusted jurisdiction data'!J32,'Adjusted jurisdiction data'!J107,'Adjusted jurisdiction data'!J182,'Adjusted jurisdiction data'!J257,'Adjusted jurisdiction data'!J332,'Adjusted jurisdiction data'!J407,'Adjusted jurisdiction data'!J482,'Adjusted jurisdiction data'!J557)</f>
        <v>1173.6828441434982</v>
      </c>
      <c r="K29" s="85">
        <f>SUM('Adjusted jurisdiction data'!K32,'Adjusted jurisdiction data'!K107,'Adjusted jurisdiction data'!K182,'Adjusted jurisdiction data'!K257,'Adjusted jurisdiction data'!K332,'Adjusted jurisdiction data'!K407,'Adjusted jurisdiction data'!K482,'Adjusted jurisdiction data'!K557)</f>
        <v>367.94794744865749</v>
      </c>
      <c r="L29" s="864">
        <f t="shared" si="3"/>
        <v>1541.6307915921557</v>
      </c>
      <c r="N29" s="867">
        <v>789.31600000000003</v>
      </c>
      <c r="O29" s="868">
        <f t="shared" si="2"/>
        <v>0.95312243967201427</v>
      </c>
      <c r="P29" s="858" t="str">
        <f t="shared" si="4"/>
        <v/>
      </c>
    </row>
    <row r="30" spans="1:16" ht="15.75">
      <c r="A30" s="799"/>
      <c r="B30" s="793"/>
      <c r="C30" s="83" t="s">
        <v>27</v>
      </c>
      <c r="D30" s="764" t="s">
        <v>95</v>
      </c>
      <c r="E30" s="85">
        <f>SUM('Adjusted jurisdiction data'!E33,'Adjusted jurisdiction data'!E108,'Adjusted jurisdiction data'!E183,'Adjusted jurisdiction data'!E258,'Adjusted jurisdiction data'!E333,'Adjusted jurisdiction data'!E408,'Adjusted jurisdiction data'!E483,'Adjusted jurisdiction data'!E558)</f>
        <v>42662.576933728145</v>
      </c>
      <c r="F30" s="85">
        <f>SUM('Adjusted jurisdiction data'!F33,'Adjusted jurisdiction data'!F108,'Adjusted jurisdiction data'!F183,'Adjusted jurisdiction data'!F258,'Adjusted jurisdiction data'!F333,'Adjusted jurisdiction data'!F408,'Adjusted jurisdiction data'!F483,'Adjusted jurisdiction data'!F558)</f>
        <v>37874.252521947245</v>
      </c>
      <c r="G30" s="84"/>
      <c r="H30" s="86" t="s">
        <v>363</v>
      </c>
      <c r="I30" s="410" t="s">
        <v>94</v>
      </c>
      <c r="J30" s="85">
        <f>SUM('Adjusted jurisdiction data'!J33,'Adjusted jurisdiction data'!J108,'Adjusted jurisdiction data'!J183,'Adjusted jurisdiction data'!J258,'Adjusted jurisdiction data'!J333,'Adjusted jurisdiction data'!J408,'Adjusted jurisdiction data'!J483,'Adjusted jurisdiction data'!J558)</f>
        <v>98337.460999999996</v>
      </c>
      <c r="K30" s="85">
        <f>SUM('Adjusted jurisdiction data'!K33,'Adjusted jurisdiction data'!K108,'Adjusted jurisdiction data'!K183,'Adjusted jurisdiction data'!K258,'Adjusted jurisdiction data'!K333,'Adjusted jurisdiction data'!K408,'Adjusted jurisdiction data'!K483,'Adjusted jurisdiction data'!K558)</f>
        <v>99631.360000999994</v>
      </c>
      <c r="L30" s="864">
        <f t="shared" si="3"/>
        <v>197968.821001</v>
      </c>
      <c r="N30" s="867">
        <v>211455.19829999999</v>
      </c>
      <c r="O30" s="868">
        <f t="shared" si="2"/>
        <v>6.377888747793431E-2</v>
      </c>
      <c r="P30" s="858" t="str">
        <f t="shared" si="4"/>
        <v/>
      </c>
    </row>
    <row r="31" spans="1:16" ht="15.75">
      <c r="A31" s="799"/>
      <c r="B31" s="793"/>
      <c r="C31" s="83" t="s">
        <v>28</v>
      </c>
      <c r="D31" s="764" t="s">
        <v>96</v>
      </c>
      <c r="E31" s="85">
        <f>SUM('Adjusted jurisdiction data'!E34,'Adjusted jurisdiction data'!E109,'Adjusted jurisdiction data'!E184,'Adjusted jurisdiction data'!E259,'Adjusted jurisdiction data'!E334,'Adjusted jurisdiction data'!E409,'Adjusted jurisdiction data'!E484,'Adjusted jurisdiction data'!E559)</f>
        <v>1.4315</v>
      </c>
      <c r="F31" s="85">
        <f>SUM('Adjusted jurisdiction data'!F34,'Adjusted jurisdiction data'!F109,'Adjusted jurisdiction data'!F184,'Adjusted jurisdiction data'!F259,'Adjusted jurisdiction data'!F334,'Adjusted jurisdiction data'!F409,'Adjusted jurisdiction data'!F484,'Adjusted jurisdiction data'!F559)</f>
        <v>2.2400010000000004</v>
      </c>
      <c r="G31" s="84"/>
      <c r="H31" s="86" t="s">
        <v>364</v>
      </c>
      <c r="I31" s="410" t="s">
        <v>87</v>
      </c>
      <c r="J31" s="85">
        <f>SUM('Adjusted jurisdiction data'!J34,'Adjusted jurisdiction data'!J109,'Adjusted jurisdiction data'!J184,'Adjusted jurisdiction data'!J259,'Adjusted jurisdiction data'!J334,'Adjusted jurisdiction data'!J409,'Adjusted jurisdiction data'!J484,'Adjusted jurisdiction data'!J559)</f>
        <v>455.74701574907203</v>
      </c>
      <c r="K31" s="85">
        <f>SUM('Adjusted jurisdiction data'!K34,'Adjusted jurisdiction data'!K109,'Adjusted jurisdiction data'!K184,'Adjusted jurisdiction data'!K259,'Adjusted jurisdiction data'!K334,'Adjusted jurisdiction data'!K409,'Adjusted jurisdiction data'!K484,'Adjusted jurisdiction data'!K559)</f>
        <v>92.63737046698202</v>
      </c>
      <c r="L31" s="864">
        <f t="shared" si="3"/>
        <v>548.38438621605405</v>
      </c>
      <c r="N31" s="867">
        <v>199.6585</v>
      </c>
      <c r="O31" s="868">
        <f t="shared" si="2"/>
        <v>1.7466117706787041</v>
      </c>
      <c r="P31" s="858" t="str">
        <f t="shared" si="4"/>
        <v/>
      </c>
    </row>
    <row r="32" spans="1:16" ht="15.75">
      <c r="A32" s="799"/>
      <c r="B32" s="793"/>
      <c r="C32" s="83" t="s">
        <v>29</v>
      </c>
      <c r="D32" s="764" t="s">
        <v>97</v>
      </c>
      <c r="E32" s="85">
        <f>SUM('Adjusted jurisdiction data'!E35,'Adjusted jurisdiction data'!E110,'Adjusted jurisdiction data'!E185,'Adjusted jurisdiction data'!E260,'Adjusted jurisdiction data'!E335,'Adjusted jurisdiction data'!E410,'Adjusted jurisdiction data'!E485,'Adjusted jurisdiction data'!E560)</f>
        <v>353.98902709252559</v>
      </c>
      <c r="F32" s="85">
        <f>SUM('Adjusted jurisdiction data'!F35,'Adjusted jurisdiction data'!F110,'Adjusted jurisdiction data'!F185,'Adjusted jurisdiction data'!F260,'Adjusted jurisdiction data'!F335,'Adjusted jurisdiction data'!F410,'Adjusted jurisdiction data'!F485,'Adjusted jurisdiction data'!F560)</f>
        <v>346.41627373822746</v>
      </c>
      <c r="G32" s="84"/>
      <c r="H32" s="86" t="s">
        <v>365</v>
      </c>
      <c r="I32" s="410" t="s">
        <v>145</v>
      </c>
      <c r="J32" s="85">
        <f>SUM('Adjusted jurisdiction data'!J35,'Adjusted jurisdiction data'!J110,'Adjusted jurisdiction data'!J185,'Adjusted jurisdiction data'!J260,'Adjusted jurisdiction data'!J335,'Adjusted jurisdiction data'!J410,'Adjusted jurisdiction data'!J485,'Adjusted jurisdiction data'!J560)</f>
        <v>1</v>
      </c>
      <c r="K32" s="85">
        <f>SUM('Adjusted jurisdiction data'!K35,'Adjusted jurisdiction data'!K110,'Adjusted jurisdiction data'!K185,'Adjusted jurisdiction data'!K260,'Adjusted jurisdiction data'!K335,'Adjusted jurisdiction data'!K410,'Adjusted jurisdiction data'!K485,'Adjusted jurisdiction data'!K560)</f>
        <v>9.9999999999999995E-7</v>
      </c>
      <c r="L32" s="864">
        <f t="shared" si="3"/>
        <v>1.0000009999999999</v>
      </c>
      <c r="N32" s="867">
        <v>39.94</v>
      </c>
      <c r="O32" s="868">
        <f t="shared" si="2"/>
        <v>0.97496241862794197</v>
      </c>
      <c r="P32" s="858" t="str">
        <f t="shared" si="4"/>
        <v/>
      </c>
    </row>
    <row r="33" spans="1:17" ht="15.75">
      <c r="A33" s="799"/>
      <c r="B33" s="793"/>
      <c r="C33" s="83" t="s">
        <v>99</v>
      </c>
      <c r="D33" s="764" t="s">
        <v>98</v>
      </c>
      <c r="E33" s="85">
        <f>SUM('Adjusted jurisdiction data'!E36,'Adjusted jurisdiction data'!E111,'Adjusted jurisdiction data'!E186,'Adjusted jurisdiction data'!E261,'Adjusted jurisdiction data'!E336,'Adjusted jurisdiction data'!E411,'Adjusted jurisdiction data'!E486,'Adjusted jurisdiction data'!E561)</f>
        <v>6.1124573378839591</v>
      </c>
      <c r="F33" s="85">
        <f>SUM('Adjusted jurisdiction data'!F36,'Adjusted jurisdiction data'!F111,'Adjusted jurisdiction data'!F186,'Adjusted jurisdiction data'!F261,'Adjusted jurisdiction data'!F336,'Adjusted jurisdiction data'!F411,'Adjusted jurisdiction data'!F486,'Adjusted jurisdiction data'!F561)</f>
        <v>1.2518779453924913</v>
      </c>
      <c r="G33" s="84"/>
      <c r="H33" s="86" t="s">
        <v>366</v>
      </c>
      <c r="I33" s="410" t="s">
        <v>89</v>
      </c>
      <c r="J33" s="85">
        <f>SUM('Adjusted jurisdiction data'!J36,'Adjusted jurisdiction data'!J111,'Adjusted jurisdiction data'!J186,'Adjusted jurisdiction data'!J261,'Adjusted jurisdiction data'!J336,'Adjusted jurisdiction data'!J411,'Adjusted jurisdiction data'!J486,'Adjusted jurisdiction data'!J561)</f>
        <v>25.150174539954627</v>
      </c>
      <c r="K33" s="85">
        <f>SUM('Adjusted jurisdiction data'!K36,'Adjusted jurisdiction data'!K111,'Adjusted jurisdiction data'!K186,'Adjusted jurisdiction data'!K261,'Adjusted jurisdiction data'!K336,'Adjusted jurisdiction data'!K411,'Adjusted jurisdiction data'!K486,'Adjusted jurisdiction data'!K561)</f>
        <v>24.671577755986892</v>
      </c>
      <c r="L33" s="864">
        <f t="shared" si="3"/>
        <v>49.821752295941522</v>
      </c>
      <c r="N33" s="867">
        <v>31.131500000000003</v>
      </c>
      <c r="O33" s="868">
        <f t="shared" si="2"/>
        <v>0.60036465624661572</v>
      </c>
      <c r="P33" s="858" t="str">
        <f t="shared" si="4"/>
        <v/>
      </c>
    </row>
    <row r="34" spans="1:17" ht="15.75">
      <c r="A34" s="799"/>
      <c r="B34" s="793"/>
      <c r="C34" s="83" t="s">
        <v>101</v>
      </c>
      <c r="D34" s="764" t="s">
        <v>100</v>
      </c>
      <c r="E34" s="85">
        <f>SUM('Adjusted jurisdiction data'!E37,'Adjusted jurisdiction data'!E112,'Adjusted jurisdiction data'!E187,'Adjusted jurisdiction data'!E262,'Adjusted jurisdiction data'!E337,'Adjusted jurisdiction data'!E412,'Adjusted jurisdiction data'!E487,'Adjusted jurisdiction data'!E562)</f>
        <v>12.453784603942731</v>
      </c>
      <c r="F34" s="85">
        <f>SUM('Adjusted jurisdiction data'!F37,'Adjusted jurisdiction data'!F112,'Adjusted jurisdiction data'!F187,'Adjusted jurisdiction data'!F262,'Adjusted jurisdiction data'!F337,'Adjusted jurisdiction data'!F412,'Adjusted jurisdiction data'!F487,'Adjusted jurisdiction data'!F562)</f>
        <v>7.5561188813898053</v>
      </c>
      <c r="G34" s="84"/>
      <c r="H34" s="86" t="s">
        <v>367</v>
      </c>
      <c r="I34" s="410" t="s">
        <v>141</v>
      </c>
      <c r="J34" s="85">
        <f>SUM('Adjusted jurisdiction data'!J37,'Adjusted jurisdiction data'!J112,'Adjusted jurisdiction data'!J187,'Adjusted jurisdiction data'!J262,'Adjusted jurisdiction data'!J337,'Adjusted jurisdiction data'!J412,'Adjusted jurisdiction data'!J487,'Adjusted jurisdiction data'!J562)</f>
        <v>19.579999999999998</v>
      </c>
      <c r="K34" s="85">
        <f>SUM('Adjusted jurisdiction data'!K37,'Adjusted jurisdiction data'!K112,'Adjusted jurisdiction data'!K187,'Adjusted jurisdiction data'!K262,'Adjusted jurisdiction data'!K337,'Adjusted jurisdiction data'!K412,'Adjusted jurisdiction data'!K487,'Adjusted jurisdiction data'!K562)</f>
        <v>0.24000099999999999</v>
      </c>
      <c r="L34" s="864">
        <f t="shared" si="3"/>
        <v>19.820000999999998</v>
      </c>
      <c r="N34" s="867">
        <v>3.8801000000000001</v>
      </c>
      <c r="O34" s="868">
        <f t="shared" si="2"/>
        <v>4.1081160279374238</v>
      </c>
      <c r="P34" s="858" t="str">
        <f t="shared" si="4"/>
        <v/>
      </c>
    </row>
    <row r="35" spans="1:17" ht="15.75">
      <c r="A35" s="800"/>
      <c r="B35" s="796"/>
      <c r="C35" s="83" t="s">
        <v>30</v>
      </c>
      <c r="D35" s="764" t="s">
        <v>151</v>
      </c>
      <c r="E35" s="85">
        <f>SUM('Adjusted jurisdiction data'!E38,'Adjusted jurisdiction data'!E113,'Adjusted jurisdiction data'!E188,'Adjusted jurisdiction data'!E263,'Adjusted jurisdiction data'!E338,'Adjusted jurisdiction data'!E413,'Adjusted jurisdiction data'!E488,'Adjusted jurisdiction data'!E563)</f>
        <v>255.58927131028182</v>
      </c>
      <c r="F35" s="85">
        <f>SUM('Adjusted jurisdiction data'!F38,'Adjusted jurisdiction data'!F113,'Adjusted jurisdiction data'!F188,'Adjusted jurisdiction data'!F263,'Adjusted jurisdiction data'!F338,'Adjusted jurisdiction data'!F413,'Adjusted jurisdiction data'!F488,'Adjusted jurisdiction data'!F563)</f>
        <v>84.586097952643584</v>
      </c>
      <c r="G35" s="84"/>
      <c r="H35" s="86" t="s">
        <v>368</v>
      </c>
      <c r="I35" s="410" t="s">
        <v>147</v>
      </c>
      <c r="J35" s="85">
        <f>SUM('Adjusted jurisdiction data'!J38,'Adjusted jurisdiction data'!J113,'Adjusted jurisdiction data'!J188,'Adjusted jurisdiction data'!J263,'Adjusted jurisdiction data'!J338,'Adjusted jurisdiction data'!J413,'Adjusted jurisdiction data'!J488,'Adjusted jurisdiction data'!J563)</f>
        <v>0</v>
      </c>
      <c r="K35" s="85">
        <f>SUM('Adjusted jurisdiction data'!K38,'Adjusted jurisdiction data'!K113,'Adjusted jurisdiction data'!K188,'Adjusted jurisdiction data'!K263,'Adjusted jurisdiction data'!K338,'Adjusted jurisdiction data'!K413,'Adjusted jurisdiction data'!K488,'Adjusted jurisdiction data'!K563)</f>
        <v>10.220001</v>
      </c>
      <c r="L35" s="864">
        <f t="shared" si="3"/>
        <v>10.220001</v>
      </c>
      <c r="N35" s="867">
        <v>5.0000000000000001E-3</v>
      </c>
      <c r="O35" s="868">
        <f t="shared" si="2"/>
        <v>2043.0001999999997</v>
      </c>
      <c r="P35" s="858" t="str">
        <f t="shared" si="4"/>
        <v/>
      </c>
    </row>
    <row r="36" spans="1:17" ht="15.75">
      <c r="A36" s="797" t="s">
        <v>31</v>
      </c>
      <c r="B36" s="764" t="s">
        <v>32</v>
      </c>
      <c r="C36" s="83" t="s">
        <v>33</v>
      </c>
      <c r="D36" s="764" t="s">
        <v>102</v>
      </c>
      <c r="E36" s="85">
        <f>SUM('Adjusted jurisdiction data'!E39,'Adjusted jurisdiction data'!E114,'Adjusted jurisdiction data'!E189,'Adjusted jurisdiction data'!E264,'Adjusted jurisdiction data'!E339,'Adjusted jurisdiction data'!E414,'Adjusted jurisdiction data'!E489,'Adjusted jurisdiction data'!E564)</f>
        <v>64.780432092141723</v>
      </c>
      <c r="F36" s="85">
        <f>SUM('Adjusted jurisdiction data'!F39,'Adjusted jurisdiction data'!F114,'Adjusted jurisdiction data'!F189,'Adjusted jurisdiction data'!F264,'Adjusted jurisdiction data'!F339,'Adjusted jurisdiction data'!F414,'Adjusted jurisdiction data'!F489,'Adjusted jurisdiction data'!F564)</f>
        <v>267.30190580779828</v>
      </c>
      <c r="G36" s="84"/>
      <c r="H36" s="86" t="s">
        <v>369</v>
      </c>
      <c r="I36" s="410" t="s">
        <v>86</v>
      </c>
      <c r="J36" s="85">
        <f>SUM('Adjusted jurisdiction data'!J39,'Adjusted jurisdiction data'!J114,'Adjusted jurisdiction data'!J189,'Adjusted jurisdiction data'!J264,'Adjusted jurisdiction data'!J339,'Adjusted jurisdiction data'!J414,'Adjusted jurisdiction data'!J489,'Adjusted jurisdiction data'!J564)</f>
        <v>609.10593173259292</v>
      </c>
      <c r="K36" s="85">
        <f>SUM('Adjusted jurisdiction data'!K39,'Adjusted jurisdiction data'!K114,'Adjusted jurisdiction data'!K189,'Adjusted jurisdiction data'!K264,'Adjusted jurisdiction data'!K339,'Adjusted jurisdiction data'!K414,'Adjusted jurisdiction data'!K489,'Adjusted jurisdiction data'!K564)</f>
        <v>1282.8024917068092</v>
      </c>
      <c r="L36" s="864">
        <f t="shared" si="3"/>
        <v>1891.9084234394022</v>
      </c>
      <c r="N36" s="867">
        <v>2191.4224116066598</v>
      </c>
      <c r="O36" s="868">
        <f t="shared" si="2"/>
        <v>0.13667560693954317</v>
      </c>
      <c r="P36" s="858" t="str">
        <f t="shared" si="4"/>
        <v/>
      </c>
    </row>
    <row r="37" spans="1:17" ht="15.75">
      <c r="A37" s="798" t="s">
        <v>34</v>
      </c>
      <c r="B37" s="1055" t="s">
        <v>152</v>
      </c>
      <c r="C37" s="83" t="s">
        <v>35</v>
      </c>
      <c r="D37" s="764" t="s">
        <v>103</v>
      </c>
      <c r="E37" s="85">
        <f>SUM('Adjusted jurisdiction data'!E40,'Adjusted jurisdiction data'!E115,'Adjusted jurisdiction data'!E190,'Adjusted jurisdiction data'!E265,'Adjusted jurisdiction data'!E340,'Adjusted jurisdiction data'!E415,'Adjusted jurisdiction data'!E490,'Adjusted jurisdiction data'!E565)</f>
        <v>15232.857041726849</v>
      </c>
      <c r="F37" s="85">
        <f>SUM('Adjusted jurisdiction data'!F40,'Adjusted jurisdiction data'!F115,'Adjusted jurisdiction data'!F190,'Adjusted jurisdiction data'!F265,'Adjusted jurisdiction data'!F340,'Adjusted jurisdiction data'!F415,'Adjusted jurisdiction data'!F490,'Adjusted jurisdiction data'!F565)</f>
        <v>17942.095214657897</v>
      </c>
      <c r="G37" s="84"/>
      <c r="H37" s="86" t="s">
        <v>370</v>
      </c>
      <c r="I37" s="410" t="s">
        <v>143</v>
      </c>
      <c r="J37" s="85">
        <f>SUM('Adjusted jurisdiction data'!J40,'Adjusted jurisdiction data'!J115,'Adjusted jurisdiction data'!J190,'Adjusted jurisdiction data'!J265,'Adjusted jurisdiction data'!J340,'Adjusted jurisdiction data'!J415,'Adjusted jurisdiction data'!J490,'Adjusted jurisdiction data'!J565)</f>
        <v>0</v>
      </c>
      <c r="K37" s="85">
        <f>SUM('Adjusted jurisdiction data'!K40,'Adjusted jurisdiction data'!K115,'Adjusted jurisdiction data'!K190,'Adjusted jurisdiction data'!K265,'Adjusted jurisdiction data'!K340,'Adjusted jurisdiction data'!K415,'Adjusted jurisdiction data'!K490,'Adjusted jurisdiction data'!K565)</f>
        <v>6.6666666666666671E-7</v>
      </c>
      <c r="L37" s="864">
        <f t="shared" si="3"/>
        <v>6.6666666666666671E-7</v>
      </c>
      <c r="N37" s="867">
        <v>0.2</v>
      </c>
      <c r="O37" s="868">
        <f t="shared" si="2"/>
        <v>0.99999666666666664</v>
      </c>
      <c r="P37" s="858" t="str">
        <f t="shared" si="4"/>
        <v/>
      </c>
    </row>
    <row r="38" spans="1:17" ht="15.75">
      <c r="A38" s="800"/>
      <c r="B38" s="1057"/>
      <c r="C38" s="83" t="s">
        <v>105</v>
      </c>
      <c r="D38" s="764" t="s">
        <v>104</v>
      </c>
      <c r="E38" s="85">
        <f>SUM('Adjusted jurisdiction data'!E41,'Adjusted jurisdiction data'!E116,'Adjusted jurisdiction data'!E191,'Adjusted jurisdiction data'!E266,'Adjusted jurisdiction data'!E341,'Adjusted jurisdiction data'!E416,'Adjusted jurisdiction data'!E491,'Adjusted jurisdiction data'!E566)</f>
        <v>2675.1409668432457</v>
      </c>
      <c r="F38" s="85">
        <f>SUM('Adjusted jurisdiction data'!F41,'Adjusted jurisdiction data'!F116,'Adjusted jurisdiction data'!F191,'Adjusted jurisdiction data'!F266,'Adjusted jurisdiction data'!F341,'Adjusted jurisdiction data'!F416,'Adjusted jurisdiction data'!F491,'Adjusted jurisdiction data'!F566)</f>
        <v>3566.1424478510053</v>
      </c>
      <c r="G38" s="84"/>
      <c r="H38" s="86" t="s">
        <v>371</v>
      </c>
      <c r="I38" s="410" t="s">
        <v>93</v>
      </c>
      <c r="J38" s="85">
        <f>SUM('Adjusted jurisdiction data'!J41,'Adjusted jurisdiction data'!J116,'Adjusted jurisdiction data'!J191,'Adjusted jurisdiction data'!J266,'Adjusted jurisdiction data'!J341,'Adjusted jurisdiction data'!J416,'Adjusted jurisdiction data'!J491,'Adjusted jurisdiction data'!J566)</f>
        <v>192124.72936758646</v>
      </c>
      <c r="K38" s="85">
        <f>SUM('Adjusted jurisdiction data'!K41,'Adjusted jurisdiction data'!K116,'Adjusted jurisdiction data'!K191,'Adjusted jurisdiction data'!K266,'Adjusted jurisdiction data'!K341,'Adjusted jurisdiction data'!K416,'Adjusted jurisdiction data'!K491,'Adjusted jurisdiction data'!K566)</f>
        <v>142281.21459551301</v>
      </c>
      <c r="L38" s="864">
        <f t="shared" si="3"/>
        <v>334405.9439630995</v>
      </c>
      <c r="N38" s="867">
        <v>133174.09301639488</v>
      </c>
      <c r="O38" s="868">
        <f t="shared" si="2"/>
        <v>1.5110435249739695</v>
      </c>
      <c r="P38" s="858" t="str">
        <f t="shared" si="4"/>
        <v>Yes</v>
      </c>
      <c r="Q38" s="860" t="s">
        <v>1036</v>
      </c>
    </row>
    <row r="39" spans="1:17" ht="15.75">
      <c r="A39" s="798" t="s">
        <v>37</v>
      </c>
      <c r="B39" s="790" t="s">
        <v>153</v>
      </c>
      <c r="C39" s="83" t="s">
        <v>38</v>
      </c>
      <c r="D39" s="764" t="s">
        <v>106</v>
      </c>
      <c r="E39" s="85">
        <f>SUM('Adjusted jurisdiction data'!E42,'Adjusted jurisdiction data'!E117,'Adjusted jurisdiction data'!E192,'Adjusted jurisdiction data'!E267,'Adjusted jurisdiction data'!E342,'Adjusted jurisdiction data'!E417,'Adjusted jurisdiction data'!E492,'Adjusted jurisdiction data'!E567)</f>
        <v>346.8727818139804</v>
      </c>
      <c r="F39" s="85">
        <f>SUM('Adjusted jurisdiction data'!F42,'Adjusted jurisdiction data'!F117,'Adjusted jurisdiction data'!F192,'Adjusted jurisdiction data'!F267,'Adjusted jurisdiction data'!F342,'Adjusted jurisdiction data'!F417,'Adjusted jurisdiction data'!F492,'Adjusted jurisdiction data'!F567)</f>
        <v>580.12500626269025</v>
      </c>
      <c r="G39" s="84"/>
      <c r="H39" s="86" t="s">
        <v>372</v>
      </c>
      <c r="I39" s="410" t="s">
        <v>85</v>
      </c>
      <c r="J39" s="85">
        <f>SUM('Adjusted jurisdiction data'!J42,'Adjusted jurisdiction data'!J117,'Adjusted jurisdiction data'!J192,'Adjusted jurisdiction data'!J267,'Adjusted jurisdiction data'!J342,'Adjusted jurisdiction data'!J417,'Adjusted jurisdiction data'!J492,'Adjusted jurisdiction data'!J567)</f>
        <v>17117.702818189318</v>
      </c>
      <c r="K39" s="85">
        <f>SUM('Adjusted jurisdiction data'!K42,'Adjusted jurisdiction data'!K117,'Adjusted jurisdiction data'!K192,'Adjusted jurisdiction data'!K267,'Adjusted jurisdiction data'!K342,'Adjusted jurisdiction data'!K417,'Adjusted jurisdiction data'!K492,'Adjusted jurisdiction data'!K567)</f>
        <v>15222.911365973743</v>
      </c>
      <c r="L39" s="864">
        <f t="shared" si="3"/>
        <v>32340.61418416306</v>
      </c>
      <c r="N39" s="867">
        <v>13167.050449999999</v>
      </c>
      <c r="O39" s="868">
        <f t="shared" si="2"/>
        <v>1.4561775856310373</v>
      </c>
      <c r="P39" s="858" t="str">
        <f t="shared" si="4"/>
        <v>Yes</v>
      </c>
      <c r="Q39" s="860" t="s">
        <v>1037</v>
      </c>
    </row>
    <row r="40" spans="1:17" ht="15.75">
      <c r="A40" s="799"/>
      <c r="B40" s="793"/>
      <c r="C40" s="83" t="s">
        <v>39</v>
      </c>
      <c r="D40" s="764" t="s">
        <v>107</v>
      </c>
      <c r="E40" s="85">
        <f>SUM('Adjusted jurisdiction data'!E43,'Adjusted jurisdiction data'!E118,'Adjusted jurisdiction data'!E193,'Adjusted jurisdiction data'!E268,'Adjusted jurisdiction data'!E343,'Adjusted jurisdiction data'!E418,'Adjusted jurisdiction data'!E493,'Adjusted jurisdiction data'!E568)</f>
        <v>6857.2447217805384</v>
      </c>
      <c r="F40" s="85">
        <f>SUM('Adjusted jurisdiction data'!F43,'Adjusted jurisdiction data'!F118,'Adjusted jurisdiction data'!F193,'Adjusted jurisdiction data'!F268,'Adjusted jurisdiction data'!F343,'Adjusted jurisdiction data'!F418,'Adjusted jurisdiction data'!F493,'Adjusted jurisdiction data'!F568)</f>
        <v>4896.5522181955967</v>
      </c>
      <c r="G40" s="84"/>
      <c r="H40" s="86" t="s">
        <v>373</v>
      </c>
      <c r="I40" s="410" t="s">
        <v>374</v>
      </c>
      <c r="J40" s="85">
        <f>SUM('Adjusted jurisdiction data'!J43,'Adjusted jurisdiction data'!J118,'Adjusted jurisdiction data'!J193,'Adjusted jurisdiction data'!J268,'Adjusted jurisdiction data'!J343,'Adjusted jurisdiction data'!J418,'Adjusted jurisdiction data'!J493,'Adjusted jurisdiction data'!J568)</f>
        <v>44.185206833169175</v>
      </c>
      <c r="K40" s="85">
        <f>SUM('Adjusted jurisdiction data'!K43,'Adjusted jurisdiction data'!K118,'Adjusted jurisdiction data'!K193,'Adjusted jurisdiction data'!K268,'Adjusted jurisdiction data'!K343,'Adjusted jurisdiction data'!K418,'Adjusted jurisdiction data'!K493,'Adjusted jurisdiction data'!K568)</f>
        <v>63.52144778136897</v>
      </c>
      <c r="L40" s="864">
        <f t="shared" si="3"/>
        <v>107.70665461453814</v>
      </c>
      <c r="N40" s="867">
        <v>107.66549999999999</v>
      </c>
      <c r="O40" s="868">
        <f t="shared" si="2"/>
        <v>3.8224514387750602E-4</v>
      </c>
      <c r="P40" s="858" t="str">
        <f t="shared" si="4"/>
        <v/>
      </c>
    </row>
    <row r="41" spans="1:17" ht="15.75">
      <c r="A41" s="799"/>
      <c r="B41" s="793"/>
      <c r="C41" s="83" t="s">
        <v>40</v>
      </c>
      <c r="D41" s="764" t="s">
        <v>108</v>
      </c>
      <c r="E41" s="85">
        <f>SUM('Adjusted jurisdiction data'!E44,'Adjusted jurisdiction data'!E119,'Adjusted jurisdiction data'!E194,'Adjusted jurisdiction data'!E269,'Adjusted jurisdiction data'!E344,'Adjusted jurisdiction data'!E419,'Adjusted jurisdiction data'!E494,'Adjusted jurisdiction data'!E569)</f>
        <v>704.52676461277281</v>
      </c>
      <c r="F41" s="85">
        <f>SUM('Adjusted jurisdiction data'!F44,'Adjusted jurisdiction data'!F119,'Adjusted jurisdiction data'!F194,'Adjusted jurisdiction data'!F269,'Adjusted jurisdiction data'!F344,'Adjusted jurisdiction data'!F419,'Adjusted jurisdiction data'!F494,'Adjusted jurisdiction data'!F569)</f>
        <v>274.68914331508228</v>
      </c>
      <c r="G41" s="84"/>
      <c r="H41" s="86" t="s">
        <v>375</v>
      </c>
      <c r="I41" s="410" t="s">
        <v>82</v>
      </c>
      <c r="J41" s="85">
        <f>SUM('Adjusted jurisdiction data'!J44,'Adjusted jurisdiction data'!J119,'Adjusted jurisdiction data'!J194,'Adjusted jurisdiction data'!J269,'Adjusted jurisdiction data'!J344,'Adjusted jurisdiction data'!J419,'Adjusted jurisdiction data'!J494,'Adjusted jurisdiction data'!J569)</f>
        <v>27755.098168767094</v>
      </c>
      <c r="K41" s="85">
        <f>SUM('Adjusted jurisdiction data'!K44,'Adjusted jurisdiction data'!K119,'Adjusted jurisdiction data'!K194,'Adjusted jurisdiction data'!K269,'Adjusted jurisdiction data'!K344,'Adjusted jurisdiction data'!K419,'Adjusted jurisdiction data'!K494,'Adjusted jurisdiction data'!K569)</f>
        <v>30068.485120779773</v>
      </c>
      <c r="L41" s="864">
        <f t="shared" si="3"/>
        <v>57823.583289546863</v>
      </c>
      <c r="N41" s="867">
        <v>40464.043851807204</v>
      </c>
      <c r="O41" s="868">
        <f t="shared" si="2"/>
        <v>0.42901148242415094</v>
      </c>
      <c r="P41" s="858" t="str">
        <f t="shared" si="4"/>
        <v>Yes</v>
      </c>
      <c r="Q41" s="860" t="s">
        <v>1042</v>
      </c>
    </row>
    <row r="42" spans="1:17" ht="15.75">
      <c r="A42" s="800"/>
      <c r="B42" s="796"/>
      <c r="C42" s="83" t="s">
        <v>41</v>
      </c>
      <c r="D42" s="764" t="s">
        <v>109</v>
      </c>
      <c r="E42" s="85">
        <f>SUM('Adjusted jurisdiction data'!E45,'Adjusted jurisdiction data'!E120,'Adjusted jurisdiction data'!E195,'Adjusted jurisdiction data'!E270,'Adjusted jurisdiction data'!E345,'Adjusted jurisdiction data'!E420,'Adjusted jurisdiction data'!E495,'Adjusted jurisdiction data'!E570)</f>
        <v>2902.7216964211366</v>
      </c>
      <c r="F42" s="85">
        <f>SUM('Adjusted jurisdiction data'!F45,'Adjusted jurisdiction data'!F120,'Adjusted jurisdiction data'!F195,'Adjusted jurisdiction data'!F270,'Adjusted jurisdiction data'!F345,'Adjusted jurisdiction data'!F420,'Adjusted jurisdiction data'!F495,'Adjusted jurisdiction data'!F570)</f>
        <v>1833.1560114861149</v>
      </c>
      <c r="G42" s="84"/>
      <c r="H42" s="86" t="s">
        <v>376</v>
      </c>
      <c r="I42" s="410" t="s">
        <v>83</v>
      </c>
      <c r="J42" s="85">
        <f>SUM('Adjusted jurisdiction data'!J45,'Adjusted jurisdiction data'!J120,'Adjusted jurisdiction data'!J195,'Adjusted jurisdiction data'!J270,'Adjusted jurisdiction data'!J345,'Adjusted jurisdiction data'!J420,'Adjusted jurisdiction data'!J495,'Adjusted jurisdiction data'!J570)</f>
        <v>194493.35506438164</v>
      </c>
      <c r="K42" s="85">
        <f>SUM('Adjusted jurisdiction data'!K45,'Adjusted jurisdiction data'!K120,'Adjusted jurisdiction data'!K195,'Adjusted jurisdiction data'!K270,'Adjusted jurisdiction data'!K345,'Adjusted jurisdiction data'!K420,'Adjusted jurisdiction data'!K495,'Adjusted jurisdiction data'!K570)</f>
        <v>138062.19764158994</v>
      </c>
      <c r="L42" s="864">
        <f t="shared" si="3"/>
        <v>332555.55270597158</v>
      </c>
      <c r="N42" s="867">
        <v>351010.55754597508</v>
      </c>
      <c r="O42" s="868">
        <f t="shared" si="2"/>
        <v>5.2576779937983147E-2</v>
      </c>
      <c r="P42" s="858" t="str">
        <f t="shared" si="4"/>
        <v/>
      </c>
    </row>
    <row r="43" spans="1:17" ht="15.75">
      <c r="A43" s="798" t="s">
        <v>42</v>
      </c>
      <c r="B43" s="790" t="s">
        <v>154</v>
      </c>
      <c r="C43" s="83" t="s">
        <v>43</v>
      </c>
      <c r="D43" s="764" t="s">
        <v>110</v>
      </c>
      <c r="E43" s="85">
        <f>SUM('Adjusted jurisdiction data'!E46,'Adjusted jurisdiction data'!E121,'Adjusted jurisdiction data'!E196,'Adjusted jurisdiction data'!E271,'Adjusted jurisdiction data'!E346,'Adjusted jurisdiction data'!E421,'Adjusted jurisdiction data'!E496,'Adjusted jurisdiction data'!E571)</f>
        <v>1259.0002721587052</v>
      </c>
      <c r="F43" s="85">
        <f>SUM('Adjusted jurisdiction data'!F46,'Adjusted jurisdiction data'!F121,'Adjusted jurisdiction data'!F196,'Adjusted jurisdiction data'!F271,'Adjusted jurisdiction data'!F346,'Adjusted jurisdiction data'!F421,'Adjusted jurisdiction data'!F496,'Adjusted jurisdiction data'!F571)</f>
        <v>2477.6246086280362</v>
      </c>
      <c r="G43" s="84"/>
      <c r="H43" s="86" t="s">
        <v>377</v>
      </c>
      <c r="I43" s="410" t="s">
        <v>378</v>
      </c>
      <c r="J43" s="85">
        <f>SUM('Adjusted jurisdiction data'!J46,'Adjusted jurisdiction data'!J121,'Adjusted jurisdiction data'!J196,'Adjusted jurisdiction data'!J271,'Adjusted jurisdiction data'!J346,'Adjusted jurisdiction data'!J421,'Adjusted jurisdiction data'!J496,'Adjusted jurisdiction data'!J571)</f>
        <v>356717.63809954672</v>
      </c>
      <c r="K43" s="85">
        <f>SUM('Adjusted jurisdiction data'!K46,'Adjusted jurisdiction data'!K121,'Adjusted jurisdiction data'!K196,'Adjusted jurisdiction data'!K271,'Adjusted jurisdiction data'!K346,'Adjusted jurisdiction data'!K421,'Adjusted jurisdiction data'!K496,'Adjusted jurisdiction data'!K571)</f>
        <v>372564.68250536284</v>
      </c>
      <c r="L43" s="864">
        <f t="shared" si="3"/>
        <v>729282.32060490956</v>
      </c>
      <c r="N43" s="867">
        <v>790691.86559536308</v>
      </c>
      <c r="O43" s="868">
        <f t="shared" si="2"/>
        <v>7.7665583348595982E-2</v>
      </c>
      <c r="P43" s="858" t="str">
        <f t="shared" si="4"/>
        <v/>
      </c>
    </row>
    <row r="44" spans="1:17" ht="15.75">
      <c r="A44" s="799"/>
      <c r="B44" s="793"/>
      <c r="C44" s="83" t="s">
        <v>44</v>
      </c>
      <c r="D44" s="764" t="s">
        <v>111</v>
      </c>
      <c r="E44" s="85">
        <f>SUM('Adjusted jurisdiction data'!E47,'Adjusted jurisdiction data'!E122,'Adjusted jurisdiction data'!E197,'Adjusted jurisdiction data'!E272,'Adjusted jurisdiction data'!E347,'Adjusted jurisdiction data'!E422,'Adjusted jurisdiction data'!E497,'Adjusted jurisdiction data'!E572)</f>
        <v>380.70164619034767</v>
      </c>
      <c r="F44" s="85">
        <f>SUM('Adjusted jurisdiction data'!F47,'Adjusted jurisdiction data'!F122,'Adjusted jurisdiction data'!F197,'Adjusted jurisdiction data'!F272,'Adjusted jurisdiction data'!F347,'Adjusted jurisdiction data'!F422,'Adjusted jurisdiction data'!F497,'Adjusted jurisdiction data'!F572)</f>
        <v>222.34183721708951</v>
      </c>
      <c r="G44" s="84"/>
      <c r="H44" s="86" t="s">
        <v>379</v>
      </c>
      <c r="I44" s="410" t="s">
        <v>176</v>
      </c>
      <c r="J44" s="85">
        <f>SUM('Adjusted jurisdiction data'!J47,'Adjusted jurisdiction data'!J122,'Adjusted jurisdiction data'!J197,'Adjusted jurisdiction data'!J272,'Adjusted jurisdiction data'!J347,'Adjusted jurisdiction data'!J422,'Adjusted jurisdiction data'!J497,'Adjusted jurisdiction data'!J572)</f>
        <v>380.70164619034767</v>
      </c>
      <c r="K44" s="85">
        <f>SUM('Adjusted jurisdiction data'!K47,'Adjusted jurisdiction data'!K122,'Adjusted jurisdiction data'!K197,'Adjusted jurisdiction data'!K272,'Adjusted jurisdiction data'!K347,'Adjusted jurisdiction data'!K422,'Adjusted jurisdiction data'!K497,'Adjusted jurisdiction data'!K572)</f>
        <v>222.34183721708951</v>
      </c>
      <c r="L44" s="864">
        <f t="shared" si="3"/>
        <v>603.04348340743718</v>
      </c>
      <c r="N44" s="867">
        <v>675.61214999999993</v>
      </c>
      <c r="O44" s="868">
        <f t="shared" si="2"/>
        <v>0.10741172519257204</v>
      </c>
      <c r="P44" s="858" t="str">
        <f t="shared" si="4"/>
        <v/>
      </c>
    </row>
    <row r="45" spans="1:17" ht="15.75">
      <c r="A45" s="800"/>
      <c r="B45" s="796"/>
      <c r="C45" s="83" t="s">
        <v>45</v>
      </c>
      <c r="D45" s="764" t="s">
        <v>155</v>
      </c>
      <c r="E45" s="85">
        <f>SUM('Adjusted jurisdiction data'!E48,'Adjusted jurisdiction data'!E123,'Adjusted jurisdiction data'!E198,'Adjusted jurisdiction data'!E273,'Adjusted jurisdiction data'!E348,'Adjusted jurisdiction data'!E423,'Adjusted jurisdiction data'!E498,'Adjusted jurisdiction data'!E573)</f>
        <v>126.78200000000001</v>
      </c>
      <c r="F45" s="85">
        <f>SUM('Adjusted jurisdiction data'!F48,'Adjusted jurisdiction data'!F123,'Adjusted jurisdiction data'!F198,'Adjusted jurisdiction data'!F273,'Adjusted jurisdiction data'!F348,'Adjusted jurisdiction data'!F423,'Adjusted jurisdiction data'!F498,'Adjusted jurisdiction data'!F573)</f>
        <v>108.97500099999999</v>
      </c>
      <c r="G45" s="84"/>
      <c r="H45" s="86" t="s">
        <v>380</v>
      </c>
      <c r="I45" s="410" t="s">
        <v>381</v>
      </c>
      <c r="J45" s="85">
        <f>SUM('Adjusted jurisdiction data'!J48,'Adjusted jurisdiction data'!J123,'Adjusted jurisdiction data'!J198,'Adjusted jurisdiction data'!J273,'Adjusted jurisdiction data'!J348,'Adjusted jurisdiction data'!J423,'Adjusted jurisdiction data'!J498,'Adjusted jurisdiction data'!J573)</f>
        <v>70.47999999999999</v>
      </c>
      <c r="K45" s="85">
        <f>SUM('Adjusted jurisdiction data'!K48,'Adjusted jurisdiction data'!K123,'Adjusted jurisdiction data'!K198,'Adjusted jurisdiction data'!K273,'Adjusted jurisdiction data'!K348,'Adjusted jurisdiction data'!K423,'Adjusted jurisdiction data'!K498,'Adjusted jurisdiction data'!K573)</f>
        <v>28.785001000000001</v>
      </c>
      <c r="L45" s="864">
        <f t="shared" si="3"/>
        <v>99.265000999999984</v>
      </c>
      <c r="N45" s="867">
        <v>11</v>
      </c>
      <c r="O45" s="868">
        <f t="shared" si="2"/>
        <v>8.0240909999999985</v>
      </c>
      <c r="P45" s="858" t="str">
        <f t="shared" si="4"/>
        <v/>
      </c>
    </row>
    <row r="46" spans="1:17" ht="15.75">
      <c r="A46" s="798" t="s">
        <v>46</v>
      </c>
      <c r="B46" s="790" t="s">
        <v>156</v>
      </c>
      <c r="C46" s="83" t="s">
        <v>47</v>
      </c>
      <c r="D46" s="764" t="s">
        <v>112</v>
      </c>
      <c r="E46" s="85">
        <f>SUM('Adjusted jurisdiction data'!E49,'Adjusted jurisdiction data'!E124,'Adjusted jurisdiction data'!E199,'Adjusted jurisdiction data'!E274,'Adjusted jurisdiction data'!E349,'Adjusted jurisdiction data'!E424,'Adjusted jurisdiction data'!E499,'Adjusted jurisdiction data'!E574)</f>
        <v>76127.534775017557</v>
      </c>
      <c r="F46" s="85">
        <f>SUM('Adjusted jurisdiction data'!F49,'Adjusted jurisdiction data'!F124,'Adjusted jurisdiction data'!F199,'Adjusted jurisdiction data'!F274,'Adjusted jurisdiction data'!F349,'Adjusted jurisdiction data'!F424,'Adjusted jurisdiction data'!F499,'Adjusted jurisdiction data'!F574)</f>
        <v>73540.186067197021</v>
      </c>
      <c r="G46" s="84"/>
      <c r="H46" s="86" t="s">
        <v>382</v>
      </c>
      <c r="I46" s="410" t="s">
        <v>383</v>
      </c>
      <c r="J46" s="85">
        <f>SUM('Adjusted jurisdiction data'!J49,'Adjusted jurisdiction data'!J124,'Adjusted jurisdiction data'!J199,'Adjusted jurisdiction data'!J274,'Adjusted jurisdiction data'!J349,'Adjusted jurisdiction data'!J424,'Adjusted jurisdiction data'!J499,'Adjusted jurisdiction data'!J574)</f>
        <v>551.35235123660357</v>
      </c>
      <c r="K46" s="85">
        <f>SUM('Adjusted jurisdiction data'!K49,'Adjusted jurisdiction data'!K124,'Adjusted jurisdiction data'!K199,'Adjusted jurisdiction data'!K274,'Adjusted jurisdiction data'!K349,'Adjusted jurisdiction data'!K424,'Adjusted jurisdiction data'!K499,'Adjusted jurisdiction data'!K574)</f>
        <v>461.423935555566</v>
      </c>
      <c r="L46" s="864">
        <f t="shared" si="3"/>
        <v>1012.7762867921696</v>
      </c>
      <c r="N46" s="867">
        <v>1110.1399999999999</v>
      </c>
      <c r="O46" s="868">
        <f t="shared" si="2"/>
        <v>8.770399517883358E-2</v>
      </c>
      <c r="P46" s="858" t="str">
        <f t="shared" si="4"/>
        <v/>
      </c>
    </row>
    <row r="47" spans="1:17" ht="15.75">
      <c r="A47" s="799"/>
      <c r="B47" s="793"/>
      <c r="C47" s="83" t="s">
        <v>48</v>
      </c>
      <c r="D47" s="764" t="s">
        <v>157</v>
      </c>
      <c r="E47" s="85">
        <f>SUM('Adjusted jurisdiction data'!E50,'Adjusted jurisdiction data'!E125,'Adjusted jurisdiction data'!E200,'Adjusted jurisdiction data'!E275,'Adjusted jurisdiction data'!E350,'Adjusted jurisdiction data'!E425,'Adjusted jurisdiction data'!E500,'Adjusted jurisdiction data'!E575)</f>
        <v>196308.21572209569</v>
      </c>
      <c r="F47" s="85">
        <f>SUM('Adjusted jurisdiction data'!F50,'Adjusted jurisdiction data'!F125,'Adjusted jurisdiction data'!F200,'Adjusted jurisdiction data'!F275,'Adjusted jurisdiction data'!F350,'Adjusted jurisdiction data'!F425,'Adjusted jurisdiction data'!F500,'Adjusted jurisdiction data'!F575)</f>
        <v>187804.29256813473</v>
      </c>
      <c r="G47" s="84"/>
      <c r="H47" s="86" t="s">
        <v>384</v>
      </c>
      <c r="I47" s="410" t="s">
        <v>106</v>
      </c>
      <c r="J47" s="85">
        <f>SUM('Adjusted jurisdiction data'!J50,'Adjusted jurisdiction data'!J125,'Adjusted jurisdiction data'!J200,'Adjusted jurisdiction data'!J275,'Adjusted jurisdiction data'!J350,'Adjusted jurisdiction data'!J425,'Adjusted jurisdiction data'!J500,'Adjusted jurisdiction data'!J575)</f>
        <v>346.8727818139804</v>
      </c>
      <c r="K47" s="85">
        <f>SUM('Adjusted jurisdiction data'!K50,'Adjusted jurisdiction data'!K125,'Adjusted jurisdiction data'!K200,'Adjusted jurisdiction data'!K275,'Adjusted jurisdiction data'!K350,'Adjusted jurisdiction data'!K425,'Adjusted jurisdiction data'!K500,'Adjusted jurisdiction data'!K575)</f>
        <v>580.12500626269025</v>
      </c>
      <c r="L47" s="864">
        <f t="shared" si="3"/>
        <v>926.99778807667064</v>
      </c>
      <c r="N47" s="867">
        <v>1463.1980299999996</v>
      </c>
      <c r="O47" s="868">
        <f t="shared" si="2"/>
        <v>0.36645773909586871</v>
      </c>
      <c r="P47" s="858" t="str">
        <f t="shared" si="4"/>
        <v/>
      </c>
    </row>
    <row r="48" spans="1:17" ht="15.75">
      <c r="A48" s="800"/>
      <c r="B48" s="796"/>
      <c r="C48" s="83" t="s">
        <v>49</v>
      </c>
      <c r="D48" s="764" t="s">
        <v>158</v>
      </c>
      <c r="E48" s="85">
        <f>SUM('Adjusted jurisdiction data'!E51,'Adjusted jurisdiction data'!E126,'Adjusted jurisdiction data'!E201,'Adjusted jurisdiction data'!E276,'Adjusted jurisdiction data'!E351,'Adjusted jurisdiction data'!E426,'Adjusted jurisdiction data'!E501,'Adjusted jurisdiction data'!E576)</f>
        <v>4059.0553407461589</v>
      </c>
      <c r="F48" s="85">
        <f>SUM('Adjusted jurisdiction data'!F51,'Adjusted jurisdiction data'!F126,'Adjusted jurisdiction data'!F201,'Adjusted jurisdiction data'!F276,'Adjusted jurisdiction data'!F351,'Adjusted jurisdiction data'!F426,'Adjusted jurisdiction data'!F501,'Adjusted jurisdiction data'!F576)</f>
        <v>1824.6367868632224</v>
      </c>
      <c r="G48" s="84"/>
      <c r="H48" s="86" t="s">
        <v>385</v>
      </c>
      <c r="I48" s="410" t="s">
        <v>108</v>
      </c>
      <c r="J48" s="85">
        <f>SUM('Adjusted jurisdiction data'!J51,'Adjusted jurisdiction data'!J126,'Adjusted jurisdiction data'!J201,'Adjusted jurisdiction data'!J276,'Adjusted jurisdiction data'!J351,'Adjusted jurisdiction data'!J426,'Adjusted jurisdiction data'!J501,'Adjusted jurisdiction data'!J576)</f>
        <v>704.52676461277281</v>
      </c>
      <c r="K48" s="85">
        <f>SUM('Adjusted jurisdiction data'!K51,'Adjusted jurisdiction data'!K126,'Adjusted jurisdiction data'!K201,'Adjusted jurisdiction data'!K276,'Adjusted jurisdiction data'!K351,'Adjusted jurisdiction data'!K426,'Adjusted jurisdiction data'!K501,'Adjusted jurisdiction data'!K576)</f>
        <v>274.68914331508228</v>
      </c>
      <c r="L48" s="864">
        <f t="shared" si="3"/>
        <v>979.21590792785514</v>
      </c>
      <c r="N48" s="867">
        <v>1262.943682803992</v>
      </c>
      <c r="O48" s="868">
        <f t="shared" si="2"/>
        <v>0.22465591992685174</v>
      </c>
      <c r="P48" s="858" t="str">
        <f t="shared" si="4"/>
        <v/>
      </c>
    </row>
    <row r="49" spans="1:17" ht="15.75">
      <c r="A49" s="798" t="s">
        <v>50</v>
      </c>
      <c r="B49" s="790" t="s">
        <v>159</v>
      </c>
      <c r="C49" s="83" t="s">
        <v>51</v>
      </c>
      <c r="D49" s="764" t="s">
        <v>113</v>
      </c>
      <c r="E49" s="85">
        <f>SUM('Adjusted jurisdiction data'!E52,'Adjusted jurisdiction data'!E127,'Adjusted jurisdiction data'!E202,'Adjusted jurisdiction data'!E277,'Adjusted jurisdiction data'!E352,'Adjusted jurisdiction data'!E427,'Adjusted jurisdiction data'!E502,'Adjusted jurisdiction data'!E577)</f>
        <v>113963.95150929449</v>
      </c>
      <c r="F49" s="85">
        <f>SUM('Adjusted jurisdiction data'!F52,'Adjusted jurisdiction data'!F127,'Adjusted jurisdiction data'!F202,'Adjusted jurisdiction data'!F277,'Adjusted jurisdiction data'!F352,'Adjusted jurisdiction data'!F427,'Adjusted jurisdiction data'!F502,'Adjusted jurisdiction data'!F577)</f>
        <v>120473.56725815654</v>
      </c>
      <c r="G49" s="84"/>
      <c r="H49" s="86" t="s">
        <v>386</v>
      </c>
      <c r="I49" s="410" t="s">
        <v>107</v>
      </c>
      <c r="J49" s="85">
        <f>SUM('Adjusted jurisdiction data'!J52,'Adjusted jurisdiction data'!J127,'Adjusted jurisdiction data'!J202,'Adjusted jurisdiction data'!J277,'Adjusted jurisdiction data'!J352,'Adjusted jurisdiction data'!J427,'Adjusted jurisdiction data'!J502,'Adjusted jurisdiction data'!J577)</f>
        <v>6857.2447217805384</v>
      </c>
      <c r="K49" s="85">
        <f>SUM('Adjusted jurisdiction data'!K52,'Adjusted jurisdiction data'!K127,'Adjusted jurisdiction data'!K202,'Adjusted jurisdiction data'!K277,'Adjusted jurisdiction data'!K352,'Adjusted jurisdiction data'!K427,'Adjusted jurisdiction data'!K502,'Adjusted jurisdiction data'!K577)</f>
        <v>4896.5522181955967</v>
      </c>
      <c r="L49" s="864">
        <f t="shared" si="3"/>
        <v>11753.796939976135</v>
      </c>
      <c r="N49" s="867">
        <v>14842.169944496231</v>
      </c>
      <c r="O49" s="868">
        <f t="shared" si="2"/>
        <v>0.20808096228983858</v>
      </c>
      <c r="P49" s="858" t="str">
        <f t="shared" si="4"/>
        <v/>
      </c>
    </row>
    <row r="50" spans="1:17" ht="15.75">
      <c r="A50" s="799"/>
      <c r="B50" s="793"/>
      <c r="C50" s="83" t="s">
        <v>115</v>
      </c>
      <c r="D50" s="764" t="s">
        <v>114</v>
      </c>
      <c r="E50" s="85">
        <f>SUM('Adjusted jurisdiction data'!E53,'Adjusted jurisdiction data'!E128,'Adjusted jurisdiction data'!E203,'Adjusted jurisdiction data'!E278,'Adjusted jurisdiction data'!E353,'Adjusted jurisdiction data'!E428,'Adjusted jurisdiction data'!E503,'Adjusted jurisdiction data'!E578)</f>
        <v>278976.97531450115</v>
      </c>
      <c r="F50" s="85">
        <f>SUM('Adjusted jurisdiction data'!F53,'Adjusted jurisdiction data'!F128,'Adjusted jurisdiction data'!F203,'Adjusted jurisdiction data'!F278,'Adjusted jurisdiction data'!F353,'Adjusted jurisdiction data'!F428,'Adjusted jurisdiction data'!F503,'Adjusted jurisdiction data'!F578)</f>
        <v>290475.09114176669</v>
      </c>
      <c r="G50" s="84"/>
      <c r="H50" s="86" t="s">
        <v>387</v>
      </c>
      <c r="I50" s="410" t="s">
        <v>388</v>
      </c>
      <c r="J50" s="85">
        <f>SUM('Adjusted jurisdiction data'!J53,'Adjusted jurisdiction data'!J128,'Adjusted jurisdiction data'!J203,'Adjusted jurisdiction data'!J278,'Adjusted jurisdiction data'!J353,'Adjusted jurisdiction data'!J428,'Adjusted jurisdiction data'!J503,'Adjusted jurisdiction data'!J578)</f>
        <v>0</v>
      </c>
      <c r="K50" s="85">
        <f>SUM('Adjusted jurisdiction data'!K53,'Adjusted jurisdiction data'!K128,'Adjusted jurisdiction data'!K203,'Adjusted jurisdiction data'!K278,'Adjusted jurisdiction data'!K353,'Adjusted jurisdiction data'!K428,'Adjusted jurisdiction data'!K503,'Adjusted jurisdiction data'!K578)</f>
        <v>9.9999999999999995E-7</v>
      </c>
      <c r="L50" s="864">
        <f t="shared" si="3"/>
        <v>9.9999999999999995E-7</v>
      </c>
      <c r="N50" s="867">
        <v>0</v>
      </c>
      <c r="O50" s="868">
        <f t="shared" si="2"/>
        <v>0</v>
      </c>
      <c r="P50" s="858" t="str">
        <f t="shared" si="4"/>
        <v/>
      </c>
    </row>
    <row r="51" spans="1:17" ht="15.75">
      <c r="A51" s="799"/>
      <c r="B51" s="793"/>
      <c r="C51" s="83" t="s">
        <v>52</v>
      </c>
      <c r="D51" s="764" t="s">
        <v>116</v>
      </c>
      <c r="E51" s="85">
        <f>SUM('Adjusted jurisdiction data'!E54,'Adjusted jurisdiction data'!E129,'Adjusted jurisdiction data'!E204,'Adjusted jurisdiction data'!E279,'Adjusted jurisdiction data'!E354,'Adjusted jurisdiction data'!E429,'Adjusted jurisdiction data'!E504,'Adjusted jurisdiction data'!E579)</f>
        <v>3913.6832695542562</v>
      </c>
      <c r="F51" s="85">
        <f>SUM('Adjusted jurisdiction data'!F54,'Adjusted jurisdiction data'!F129,'Adjusted jurisdiction data'!F204,'Adjusted jurisdiction data'!F279,'Adjusted jurisdiction data'!F354,'Adjusted jurisdiction data'!F429,'Adjusted jurisdiction data'!F504,'Adjusted jurisdiction data'!F579)</f>
        <v>3247.3393727210182</v>
      </c>
      <c r="G51" s="84"/>
      <c r="H51" s="86" t="s">
        <v>389</v>
      </c>
      <c r="I51" s="410" t="s">
        <v>390</v>
      </c>
      <c r="J51" s="85">
        <f>SUM('Adjusted jurisdiction data'!J54,'Adjusted jurisdiction data'!J129,'Adjusted jurisdiction data'!J204,'Adjusted jurisdiction data'!J279,'Adjusted jurisdiction data'!J354,'Adjusted jurisdiction data'!J429,'Adjusted jurisdiction data'!J504,'Adjusted jurisdiction data'!J579)</f>
        <v>0</v>
      </c>
      <c r="K51" s="85">
        <f>SUM('Adjusted jurisdiction data'!K54,'Adjusted jurisdiction data'!K129,'Adjusted jurisdiction data'!K204,'Adjusted jurisdiction data'!K279,'Adjusted jurisdiction data'!K354,'Adjusted jurisdiction data'!K429,'Adjusted jurisdiction data'!K504,'Adjusted jurisdiction data'!K579)</f>
        <v>9.9999999999999995E-7</v>
      </c>
      <c r="L51" s="864">
        <f t="shared" si="3"/>
        <v>9.9999999999999995E-7</v>
      </c>
      <c r="N51" s="867">
        <v>0</v>
      </c>
      <c r="O51" s="868">
        <f t="shared" si="2"/>
        <v>0</v>
      </c>
      <c r="P51" s="858" t="str">
        <f t="shared" si="4"/>
        <v/>
      </c>
    </row>
    <row r="52" spans="1:17" ht="15.75">
      <c r="A52" s="800"/>
      <c r="B52" s="796"/>
      <c r="C52" s="83" t="s">
        <v>118</v>
      </c>
      <c r="D52" s="764" t="s">
        <v>117</v>
      </c>
      <c r="E52" s="85">
        <f>SUM('Adjusted jurisdiction data'!E55,'Adjusted jurisdiction data'!E130,'Adjusted jurisdiction data'!E205,'Adjusted jurisdiction data'!E280,'Adjusted jurisdiction data'!E355,'Adjusted jurisdiction data'!E430,'Adjusted jurisdiction data'!E505,'Adjusted jurisdiction data'!E580)</f>
        <v>599.49</v>
      </c>
      <c r="F52" s="85">
        <f>SUM('Adjusted jurisdiction data'!F55,'Adjusted jurisdiction data'!F130,'Adjusted jurisdiction data'!F205,'Adjusted jurisdiction data'!F280,'Adjusted jurisdiction data'!F355,'Adjusted jurisdiction data'!F430,'Adjusted jurisdiction data'!F505,'Adjusted jurisdiction data'!F580)</f>
        <v>418.89000099999998</v>
      </c>
      <c r="G52" s="84"/>
      <c r="H52" s="86" t="s">
        <v>391</v>
      </c>
      <c r="I52" s="410" t="s">
        <v>392</v>
      </c>
      <c r="J52" s="85">
        <f>SUM('Adjusted jurisdiction data'!J55,'Adjusted jurisdiction data'!J130,'Adjusted jurisdiction data'!J205,'Adjusted jurisdiction data'!J280,'Adjusted jurisdiction data'!J355,'Adjusted jurisdiction data'!J430,'Adjusted jurisdiction data'!J505,'Adjusted jurisdiction data'!J580)</f>
        <v>9.5744891622941921</v>
      </c>
      <c r="K52" s="85">
        <f>SUM('Adjusted jurisdiction data'!K55,'Adjusted jurisdiction data'!K130,'Adjusted jurisdiction data'!K205,'Adjusted jurisdiction data'!K280,'Adjusted jurisdiction data'!K355,'Adjusted jurisdiction data'!K430,'Adjusted jurisdiction data'!K505,'Adjusted jurisdiction data'!K580)</f>
        <v>79.328892008221459</v>
      </c>
      <c r="L52" s="864">
        <f t="shared" si="3"/>
        <v>88.903381170515644</v>
      </c>
      <c r="N52" s="867">
        <v>19.864000000000001</v>
      </c>
      <c r="O52" s="868">
        <f t="shared" si="2"/>
        <v>3.4756031600138764</v>
      </c>
      <c r="P52" s="858" t="str">
        <f t="shared" si="4"/>
        <v/>
      </c>
    </row>
    <row r="53" spans="1:17" ht="25.5">
      <c r="A53" s="798" t="s">
        <v>53</v>
      </c>
      <c r="B53" s="790" t="s">
        <v>54</v>
      </c>
      <c r="C53" s="83" t="s">
        <v>55</v>
      </c>
      <c r="D53" s="764" t="s">
        <v>160</v>
      </c>
      <c r="E53" s="85">
        <f>SUM('Adjusted jurisdiction data'!E56,'Adjusted jurisdiction data'!E131,'Adjusted jurisdiction data'!E206,'Adjusted jurisdiction data'!E281,'Adjusted jurisdiction data'!E356,'Adjusted jurisdiction data'!E431,'Adjusted jurisdiction data'!E506,'Adjusted jurisdiction data'!E581)</f>
        <v>2644.794454645255</v>
      </c>
      <c r="F53" s="85">
        <f>SUM('Adjusted jurisdiction data'!F56,'Adjusted jurisdiction data'!F131,'Adjusted jurisdiction data'!F206,'Adjusted jurisdiction data'!F281,'Adjusted jurisdiction data'!F356,'Adjusted jurisdiction data'!F431,'Adjusted jurisdiction data'!F506,'Adjusted jurisdiction data'!F581)</f>
        <v>20036.617305247131</v>
      </c>
      <c r="G53" s="84"/>
      <c r="H53" s="93"/>
      <c r="I53" s="409" t="s">
        <v>405</v>
      </c>
      <c r="J53" s="96"/>
      <c r="K53" s="96"/>
      <c r="L53" s="96"/>
      <c r="N53" s="869"/>
      <c r="O53" s="869"/>
    </row>
    <row r="54" spans="1:17" ht="15.75">
      <c r="A54" s="799"/>
      <c r="B54" s="793"/>
      <c r="C54" s="83" t="s">
        <v>56</v>
      </c>
      <c r="D54" s="764" t="s">
        <v>161</v>
      </c>
      <c r="E54" s="85">
        <f>SUM('Adjusted jurisdiction data'!E57,'Adjusted jurisdiction data'!E132,'Adjusted jurisdiction data'!E207,'Adjusted jurisdiction data'!E282,'Adjusted jurisdiction data'!E357,'Adjusted jurisdiction data'!E432,'Adjusted jurisdiction data'!E507,'Adjusted jurisdiction data'!E582)</f>
        <v>551.35235123660357</v>
      </c>
      <c r="F54" s="85">
        <f>SUM('Adjusted jurisdiction data'!F57,'Adjusted jurisdiction data'!F132,'Adjusted jurisdiction data'!F207,'Adjusted jurisdiction data'!F282,'Adjusted jurisdiction data'!F357,'Adjusted jurisdiction data'!F432,'Adjusted jurisdiction data'!F507,'Adjusted jurisdiction data'!F582)</f>
        <v>461.423935555566</v>
      </c>
      <c r="G54" s="84"/>
      <c r="H54" s="86" t="s">
        <v>393</v>
      </c>
      <c r="I54" s="410" t="s">
        <v>394</v>
      </c>
      <c r="J54" s="85">
        <f>SUM('Adjusted jurisdiction data'!J57,'Adjusted jurisdiction data'!J132,'Adjusted jurisdiction data'!J207,'Adjusted jurisdiction data'!J282,'Adjusted jurisdiction data'!J357,'Adjusted jurisdiction data'!J432,'Adjusted jurisdiction data'!J507,'Adjusted jurisdiction data'!J582)</f>
        <v>6778962.4624099554</v>
      </c>
      <c r="K54" s="85">
        <f>SUM('Adjusted jurisdiction data'!K57,'Adjusted jurisdiction data'!K132,'Adjusted jurisdiction data'!K207,'Adjusted jurisdiction data'!K282,'Adjusted jurisdiction data'!K357,'Adjusted jurisdiction data'!K432,'Adjusted jurisdiction data'!K507,'Adjusted jurisdiction data'!K582)</f>
        <v>6823746.6016192669</v>
      </c>
      <c r="L54" s="864">
        <f t="shared" si="3"/>
        <v>13602709.064029222</v>
      </c>
      <c r="N54" s="867">
        <v>13401059.50740603</v>
      </c>
      <c r="O54" s="868">
        <f t="shared" si="2"/>
        <v>1.5047284620425113E-2</v>
      </c>
      <c r="P54" s="858" t="str">
        <f>IF(AND(O54&gt;T$5,L54&gt;T$6),"Yes","")</f>
        <v/>
      </c>
    </row>
    <row r="55" spans="1:17" ht="15.75">
      <c r="A55" s="799"/>
      <c r="B55" s="793"/>
      <c r="C55" s="83" t="s">
        <v>57</v>
      </c>
      <c r="D55" s="764" t="s">
        <v>162</v>
      </c>
      <c r="E55" s="85">
        <f>SUM('Adjusted jurisdiction data'!E58,'Adjusted jurisdiction data'!E133,'Adjusted jurisdiction data'!E208,'Adjusted jurisdiction data'!E283,'Adjusted jurisdiction data'!E358,'Adjusted jurisdiction data'!E433,'Adjusted jurisdiction data'!E508,'Adjusted jurisdiction data'!E583)</f>
        <v>9.5744891622941921</v>
      </c>
      <c r="F55" s="85">
        <f>SUM('Adjusted jurisdiction data'!F58,'Adjusted jurisdiction data'!F133,'Adjusted jurisdiction data'!F208,'Adjusted jurisdiction data'!F283,'Adjusted jurisdiction data'!F358,'Adjusted jurisdiction data'!F433,'Adjusted jurisdiction data'!F508,'Adjusted jurisdiction data'!F583)</f>
        <v>79.328892008221459</v>
      </c>
      <c r="G55" s="84"/>
      <c r="H55" s="86" t="s">
        <v>395</v>
      </c>
      <c r="I55" s="410" t="s">
        <v>396</v>
      </c>
      <c r="J55" s="85">
        <f>SUM('Adjusted jurisdiction data'!J58,'Adjusted jurisdiction data'!J133,'Adjusted jurisdiction data'!J208,'Adjusted jurisdiction data'!J283,'Adjusted jurisdiction data'!J358,'Adjusted jurisdiction data'!J433,'Adjusted jurisdiction data'!J508,'Adjusted jurisdiction data'!J583)</f>
        <v>0</v>
      </c>
      <c r="K55" s="85">
        <f>SUM('Adjusted jurisdiction data'!K58,'Adjusted jurisdiction data'!K133,'Adjusted jurisdiction data'!K208,'Adjusted jurisdiction data'!K283,'Adjusted jurisdiction data'!K358,'Adjusted jurisdiction data'!K433,'Adjusted jurisdiction data'!K508,'Adjusted jurisdiction data'!K583)</f>
        <v>0</v>
      </c>
      <c r="L55" s="864">
        <f t="shared" si="3"/>
        <v>0</v>
      </c>
      <c r="N55" s="867">
        <v>0</v>
      </c>
      <c r="O55" s="868">
        <f t="shared" si="2"/>
        <v>0</v>
      </c>
      <c r="P55" s="858" t="str">
        <f>IF(AND(O55&gt;T$5,L55&gt;T$6),"Yes","")</f>
        <v/>
      </c>
    </row>
    <row r="56" spans="1:17">
      <c r="A56" s="799"/>
      <c r="B56" s="793"/>
      <c r="C56" s="83" t="s">
        <v>120</v>
      </c>
      <c r="D56" s="764" t="s">
        <v>119</v>
      </c>
      <c r="E56" s="85">
        <f>SUM('Adjusted jurisdiction data'!E59,'Adjusted jurisdiction data'!E134,'Adjusted jurisdiction data'!E209,'Adjusted jurisdiction data'!E284,'Adjusted jurisdiction data'!E359,'Adjusted jurisdiction data'!E434,'Adjusted jurisdiction data'!E509,'Adjusted jurisdiction data'!E584)</f>
        <v>0</v>
      </c>
      <c r="F56" s="85">
        <f>SUM('Adjusted jurisdiction data'!F59,'Adjusted jurisdiction data'!F134,'Adjusted jurisdiction data'!F209,'Adjusted jurisdiction data'!F284,'Adjusted jurisdiction data'!F359,'Adjusted jurisdiction data'!F434,'Adjusted jurisdiction data'!F509,'Adjusted jurisdiction data'!F584)</f>
        <v>0.20500099999999999</v>
      </c>
      <c r="G56" s="84"/>
      <c r="H56" s="100"/>
      <c r="I56" s="413" t="s">
        <v>408</v>
      </c>
      <c r="J56" s="96"/>
      <c r="K56" s="96"/>
      <c r="L56" s="103"/>
      <c r="N56" s="869"/>
      <c r="O56" s="869"/>
    </row>
    <row r="57" spans="1:17" ht="15.75">
      <c r="A57" s="799"/>
      <c r="B57" s="793"/>
      <c r="C57" s="83" t="s">
        <v>122</v>
      </c>
      <c r="D57" s="764" t="s">
        <v>121</v>
      </c>
      <c r="E57" s="85">
        <f>SUM('Adjusted jurisdiction data'!E60,'Adjusted jurisdiction data'!E135,'Adjusted jurisdiction data'!E210,'Adjusted jurisdiction data'!E285,'Adjusted jurisdiction data'!E360,'Adjusted jurisdiction data'!E435,'Adjusted jurisdiction data'!E510,'Adjusted jurisdiction data'!E585)</f>
        <v>0</v>
      </c>
      <c r="F57" s="85">
        <f>SUM('Adjusted jurisdiction data'!F60,'Adjusted jurisdiction data'!F135,'Adjusted jurisdiction data'!F210,'Adjusted jurisdiction data'!F285,'Adjusted jurisdiction data'!F360,'Adjusted jurisdiction data'!F435,'Adjusted jurisdiction data'!F510,'Adjusted jurisdiction data'!F585)</f>
        <v>9.9999999999999995E-7</v>
      </c>
      <c r="G57" s="84"/>
      <c r="H57" s="89">
        <v>1</v>
      </c>
      <c r="I57" s="572" t="s">
        <v>397</v>
      </c>
      <c r="J57" s="85">
        <f>SUM('Adjusted jurisdiction data'!J60,'Adjusted jurisdiction data'!J135,'Adjusted jurisdiction data'!J210,'Adjusted jurisdiction data'!J285,'Adjusted jurisdiction data'!J360,'Adjusted jurisdiction data'!J435,'Adjusted jurisdiction data'!J510,'Adjusted jurisdiction data'!J585)</f>
        <v>216.48735030099965</v>
      </c>
      <c r="K57" s="85">
        <f>SUM('Adjusted jurisdiction data'!K60,'Adjusted jurisdiction data'!K135,'Adjusted jurisdiction data'!K210,'Adjusted jurisdiction data'!K285,'Adjusted jurisdiction data'!K360,'Adjusted jurisdiction data'!K435,'Adjusted jurisdiction data'!K510,'Adjusted jurisdiction data'!K585)</f>
        <v>141.7649027328703</v>
      </c>
      <c r="L57" s="864">
        <f t="shared" si="3"/>
        <v>358.25225303386992</v>
      </c>
      <c r="N57" s="867">
        <v>1175.6469999999999</v>
      </c>
      <c r="O57" s="868">
        <f t="shared" si="2"/>
        <v>0.6952722602670105</v>
      </c>
      <c r="P57" s="858" t="str">
        <f t="shared" ref="P57:P64" si="5">IF(AND(O57&gt;T$5,L57&gt;T$6),"Yes","")</f>
        <v/>
      </c>
    </row>
    <row r="58" spans="1:17" ht="15.75">
      <c r="A58" s="799"/>
      <c r="B58" s="793"/>
      <c r="C58" s="83" t="s">
        <v>124</v>
      </c>
      <c r="D58" s="764" t="s">
        <v>123</v>
      </c>
      <c r="E58" s="85">
        <f>SUM('Adjusted jurisdiction data'!E61,'Adjusted jurisdiction data'!E136,'Adjusted jurisdiction data'!E211,'Adjusted jurisdiction data'!E286,'Adjusted jurisdiction data'!E361,'Adjusted jurisdiction data'!E436,'Adjusted jurisdiction data'!E511,'Adjusted jurisdiction data'!E586)</f>
        <v>70.47999999999999</v>
      </c>
      <c r="F58" s="85">
        <f>SUM('Adjusted jurisdiction data'!F61,'Adjusted jurisdiction data'!F136,'Adjusted jurisdiction data'!F211,'Adjusted jurisdiction data'!F286,'Adjusted jurisdiction data'!F361,'Adjusted jurisdiction data'!F436,'Adjusted jurisdiction data'!F511,'Adjusted jurisdiction data'!F586)</f>
        <v>28.785001000000001</v>
      </c>
      <c r="G58" s="84"/>
      <c r="H58" s="89">
        <v>2</v>
      </c>
      <c r="I58" s="572" t="s">
        <v>398</v>
      </c>
      <c r="J58" s="85">
        <f>SUM('Adjusted jurisdiction data'!J61,'Adjusted jurisdiction data'!J136,'Adjusted jurisdiction data'!J211,'Adjusted jurisdiction data'!J286,'Adjusted jurisdiction data'!J361,'Adjusted jurisdiction data'!J436,'Adjusted jurisdiction data'!J511,'Adjusted jurisdiction data'!J586)</f>
        <v>43273.586732130956</v>
      </c>
      <c r="K58" s="85">
        <f>SUM('Adjusted jurisdiction data'!K61,'Adjusted jurisdiction data'!K136,'Adjusted jurisdiction data'!K211,'Adjusted jurisdiction data'!K286,'Adjusted jurisdiction data'!K361,'Adjusted jurisdiction data'!K436,'Adjusted jurisdiction data'!K511,'Adjusted jurisdiction data'!K586)</f>
        <v>38307.494894638112</v>
      </c>
      <c r="L58" s="864">
        <f t="shared" si="3"/>
        <v>81581.081626769068</v>
      </c>
      <c r="N58" s="867">
        <v>93009.687579999998</v>
      </c>
      <c r="O58" s="868">
        <f t="shared" si="2"/>
        <v>0.12287543642591957</v>
      </c>
      <c r="P58" s="858" t="str">
        <f t="shared" si="5"/>
        <v/>
      </c>
    </row>
    <row r="59" spans="1:17" ht="15.75">
      <c r="A59" s="799"/>
      <c r="B59" s="793"/>
      <c r="C59" s="83" t="s">
        <v>58</v>
      </c>
      <c r="D59" s="764" t="s">
        <v>136</v>
      </c>
      <c r="E59" s="85">
        <f>SUM('Adjusted jurisdiction data'!E62,'Adjusted jurisdiction data'!E137,'Adjusted jurisdiction data'!E212,'Adjusted jurisdiction data'!E287,'Adjusted jurisdiction data'!E362,'Adjusted jurisdiction data'!E437,'Adjusted jurisdiction data'!E512,'Adjusted jurisdiction data'!E587)</f>
        <v>130.0780583051843</v>
      </c>
      <c r="F59" s="85">
        <f>SUM('Adjusted jurisdiction data'!F62,'Adjusted jurisdiction data'!F137,'Adjusted jurisdiction data'!F212,'Adjusted jurisdiction data'!F287,'Adjusted jurisdiction data'!F362,'Adjusted jurisdiction data'!F437,'Adjusted jurisdiction data'!F512,'Adjusted jurisdiction data'!F587)</f>
        <v>246.20956754795125</v>
      </c>
      <c r="G59" s="84"/>
      <c r="H59" s="89">
        <v>3</v>
      </c>
      <c r="I59" s="572" t="s">
        <v>323</v>
      </c>
      <c r="J59" s="85">
        <f>SUM('Adjusted jurisdiction data'!J62,'Adjusted jurisdiction data'!J137,'Adjusted jurisdiction data'!J212,'Adjusted jurisdiction data'!J287,'Adjusted jurisdiction data'!J362,'Adjusted jurisdiction data'!J437,'Adjusted jurisdiction data'!J512,'Adjusted jurisdiction data'!J587)</f>
        <v>6234.9262473015078</v>
      </c>
      <c r="K59" s="85">
        <f>SUM('Adjusted jurisdiction data'!K62,'Adjusted jurisdiction data'!K137,'Adjusted jurisdiction data'!K212,'Adjusted jurisdiction data'!K287,'Adjusted jurisdiction data'!K362,'Adjusted jurisdiction data'!K437,'Adjusted jurisdiction data'!K512,'Adjusted jurisdiction data'!K587)</f>
        <v>6749.9094064064639</v>
      </c>
      <c r="L59" s="864">
        <f t="shared" si="3"/>
        <v>12984.835653707971</v>
      </c>
      <c r="N59" s="867">
        <v>14272.474551693773</v>
      </c>
      <c r="O59" s="868">
        <f t="shared" si="2"/>
        <v>9.0218335532641927E-2</v>
      </c>
      <c r="P59" s="858" t="str">
        <f t="shared" si="5"/>
        <v/>
      </c>
    </row>
    <row r="60" spans="1:17" ht="15.75">
      <c r="A60" s="799"/>
      <c r="B60" s="793"/>
      <c r="C60" s="83" t="s">
        <v>59</v>
      </c>
      <c r="D60" s="764" t="s">
        <v>125</v>
      </c>
      <c r="E60" s="85">
        <f>SUM('Adjusted jurisdiction data'!E63,'Adjusted jurisdiction data'!E138,'Adjusted jurisdiction data'!E213,'Adjusted jurisdiction data'!E288,'Adjusted jurisdiction data'!E363,'Adjusted jurisdiction data'!E438,'Adjusted jurisdiction data'!E513,'Adjusted jurisdiction data'!E588)</f>
        <v>1503.40875413805</v>
      </c>
      <c r="F60" s="85">
        <f>SUM('Adjusted jurisdiction data'!F63,'Adjusted jurisdiction data'!F138,'Adjusted jurisdiction data'!F213,'Adjusted jurisdiction data'!F288,'Adjusted jurisdiction data'!F363,'Adjusted jurisdiction data'!F438,'Adjusted jurisdiction data'!F513,'Adjusted jurisdiction data'!F588)</f>
        <v>2367.1938750010509</v>
      </c>
      <c r="G60" s="84"/>
      <c r="H60" s="89">
        <v>4</v>
      </c>
      <c r="I60" s="572" t="s">
        <v>159</v>
      </c>
      <c r="J60" s="85">
        <f>SUM('Adjusted jurisdiction data'!J63,'Adjusted jurisdiction data'!J138,'Adjusted jurisdiction data'!J213,'Adjusted jurisdiction data'!J288,'Adjusted jurisdiction data'!J363,'Adjusted jurisdiction data'!J438,'Adjusted jurisdiction data'!J513,'Adjusted jurisdiction data'!J588)</f>
        <v>397454.10009334987</v>
      </c>
      <c r="K60" s="85">
        <f>SUM('Adjusted jurisdiction data'!K63,'Adjusted jurisdiction data'!K138,'Adjusted jurisdiction data'!K213,'Adjusted jurisdiction data'!K288,'Adjusted jurisdiction data'!K363,'Adjusted jurisdiction data'!K438,'Adjusted jurisdiction data'!K513,'Adjusted jurisdiction data'!K588)</f>
        <v>414614.88777364424</v>
      </c>
      <c r="L60" s="864">
        <f t="shared" si="3"/>
        <v>812068.98786699411</v>
      </c>
      <c r="N60" s="867">
        <v>905350.19490968517</v>
      </c>
      <c r="O60" s="868">
        <f t="shared" si="2"/>
        <v>0.10303328763517469</v>
      </c>
      <c r="P60" s="858" t="str">
        <f t="shared" si="5"/>
        <v/>
      </c>
    </row>
    <row r="61" spans="1:17" ht="25.5">
      <c r="A61" s="799"/>
      <c r="B61" s="793"/>
      <c r="C61" s="83" t="s">
        <v>60</v>
      </c>
      <c r="D61" s="764" t="s">
        <v>163</v>
      </c>
      <c r="E61" s="85">
        <f>SUM('Adjusted jurisdiction data'!E64,'Adjusted jurisdiction data'!E139,'Adjusted jurisdiction data'!E214,'Adjusted jurisdiction data'!E289,'Adjusted jurisdiction data'!E364,'Adjusted jurisdiction data'!E439,'Adjusted jurisdiction data'!E514,'Adjusted jurisdiction data'!E589)</f>
        <v>4459.099214820144</v>
      </c>
      <c r="F61" s="85">
        <f>SUM('Adjusted jurisdiction data'!F64,'Adjusted jurisdiction data'!F139,'Adjusted jurisdiction data'!F214,'Adjusted jurisdiction data'!F289,'Adjusted jurisdiction data'!F364,'Adjusted jurisdiction data'!F439,'Adjusted jurisdiction data'!F514,'Adjusted jurisdiction data'!F589)</f>
        <v>4027.7660004370182</v>
      </c>
      <c r="G61" s="84"/>
      <c r="H61" s="89">
        <v>5</v>
      </c>
      <c r="I61" s="764" t="s">
        <v>399</v>
      </c>
      <c r="J61" s="85">
        <f>SUM('Adjusted jurisdiction data'!J64,'Adjusted jurisdiction data'!J139,'Adjusted jurisdiction data'!J214,'Adjusted jurisdiction data'!J289,'Adjusted jurisdiction data'!J364,'Adjusted jurisdiction data'!J439,'Adjusted jurisdiction data'!J514,'Adjusted jurisdiction data'!J589)</f>
        <v>9446.2355909447288</v>
      </c>
      <c r="K61" s="85">
        <f>SUM('Adjusted jurisdiction data'!K64,'Adjusted jurisdiction data'!K139,'Adjusted jurisdiction data'!K214,'Adjusted jurisdiction data'!K289,'Adjusted jurisdiction data'!K364,'Adjusted jurisdiction data'!K439,'Adjusted jurisdiction data'!K514,'Adjusted jurisdiction data'!K589)</f>
        <v>9897.9723624459129</v>
      </c>
      <c r="L61" s="864">
        <f t="shared" si="3"/>
        <v>19344.207953390644</v>
      </c>
      <c r="N61" s="867">
        <v>41402.283046847151</v>
      </c>
      <c r="O61" s="868">
        <f t="shared" si="2"/>
        <v>0.53277436581208693</v>
      </c>
      <c r="P61" s="858" t="str">
        <f t="shared" si="5"/>
        <v>Yes</v>
      </c>
      <c r="Q61" s="860" t="s">
        <v>1038</v>
      </c>
    </row>
    <row r="62" spans="1:17" ht="15.75">
      <c r="A62" s="800"/>
      <c r="B62" s="796"/>
      <c r="C62" s="83" t="s">
        <v>61</v>
      </c>
      <c r="D62" s="764" t="s">
        <v>126</v>
      </c>
      <c r="E62" s="85">
        <f>SUM('Adjusted jurisdiction data'!E65,'Adjusted jurisdiction data'!E140,'Adjusted jurisdiction data'!E215,'Adjusted jurisdiction data'!E290,'Adjusted jurisdiction data'!E365,'Adjusted jurisdiction data'!E440,'Adjusted jurisdiction data'!E515,'Adjusted jurisdiction data'!E590)</f>
        <v>142.3402200381303</v>
      </c>
      <c r="F62" s="85">
        <f>SUM('Adjusted jurisdiction data'!F65,'Adjusted jurisdiction data'!F140,'Adjusted jurisdiction data'!F215,'Adjusted jurisdiction data'!F290,'Adjusted jurisdiction data'!F365,'Adjusted jurisdiction data'!F440,'Adjusted jurisdiction data'!F515,'Adjusted jurisdiction data'!F590)</f>
        <v>108.739963420443</v>
      </c>
      <c r="G62" s="84"/>
      <c r="H62" s="89">
        <v>6</v>
      </c>
      <c r="I62" s="801" t="s">
        <v>462</v>
      </c>
      <c r="J62" s="85">
        <f>SUM('Adjusted jurisdiction data'!J65,'Adjusted jurisdiction data'!J140,'Adjusted jurisdiction data'!J215,'Adjusted jurisdiction data'!J290,'Adjusted jurisdiction data'!J365,'Adjusted jurisdiction data'!J440,'Adjusted jurisdiction data'!J515,'Adjusted jurisdiction data'!J590)</f>
        <v>537833.13139329408</v>
      </c>
      <c r="K62" s="85">
        <f>SUM('Adjusted jurisdiction data'!K65,'Adjusted jurisdiction data'!K140,'Adjusted jurisdiction data'!K215,'Adjusted jurisdiction data'!K290,'Adjusted jurisdiction data'!K365,'Adjusted jurisdiction data'!K440,'Adjusted jurisdiction data'!K515,'Adjusted jurisdiction data'!K590)</f>
        <v>594814.61306001351</v>
      </c>
      <c r="L62" s="864">
        <f t="shared" si="3"/>
        <v>1132647.7444533077</v>
      </c>
      <c r="N62" s="867">
        <v>1437872.1947257153</v>
      </c>
      <c r="O62" s="868">
        <f t="shared" si="2"/>
        <v>0.2122750905066576</v>
      </c>
      <c r="P62" s="858" t="str">
        <f t="shared" si="5"/>
        <v/>
      </c>
    </row>
    <row r="63" spans="1:17" ht="15.75">
      <c r="A63" s="798" t="s">
        <v>62</v>
      </c>
      <c r="B63" s="790" t="s">
        <v>164</v>
      </c>
      <c r="C63" s="83" t="s">
        <v>63</v>
      </c>
      <c r="D63" s="764" t="s">
        <v>165</v>
      </c>
      <c r="E63" s="85">
        <f>SUM('Adjusted jurisdiction data'!E66,'Adjusted jurisdiction data'!E141,'Adjusted jurisdiction data'!E216,'Adjusted jurisdiction data'!E291,'Adjusted jurisdiction data'!E366,'Adjusted jurisdiction data'!E441,'Adjusted jurisdiction data'!E516,'Adjusted jurisdiction data'!E591)</f>
        <v>9446.2355909447288</v>
      </c>
      <c r="F63" s="85">
        <f>SUM('Adjusted jurisdiction data'!F66,'Adjusted jurisdiction data'!F141,'Adjusted jurisdiction data'!F216,'Adjusted jurisdiction data'!F291,'Adjusted jurisdiction data'!F366,'Adjusted jurisdiction data'!F441,'Adjusted jurisdiction data'!F516,'Adjusted jurisdiction data'!F591)</f>
        <v>9897.9723624459129</v>
      </c>
      <c r="G63" s="84"/>
      <c r="H63" s="89">
        <v>7</v>
      </c>
      <c r="I63" s="801" t="s">
        <v>463</v>
      </c>
      <c r="J63" s="85">
        <f>SUM('Adjusted jurisdiction data'!J66,'Adjusted jurisdiction data'!J141,'Adjusted jurisdiction data'!J216,'Adjusted jurisdiction data'!J291,'Adjusted jurisdiction data'!J366,'Adjusted jurisdiction data'!J441,'Adjusted jurisdiction data'!J516,'Adjusted jurisdiction data'!J591)</f>
        <v>7390.7774285714277</v>
      </c>
      <c r="K63" s="85">
        <f>SUM('Adjusted jurisdiction data'!K66,'Adjusted jurisdiction data'!K141,'Adjusted jurisdiction data'!K216,'Adjusted jurisdiction data'!K291,'Adjusted jurisdiction data'!K366,'Adjusted jurisdiction data'!K441,'Adjusted jurisdiction data'!K516,'Adjusted jurisdiction data'!K591)</f>
        <v>8933.6169447142838</v>
      </c>
      <c r="L63" s="864">
        <f t="shared" si="3"/>
        <v>16324.394373285711</v>
      </c>
      <c r="N63" s="867">
        <v>19758.509999999998</v>
      </c>
      <c r="O63" s="868">
        <f t="shared" si="2"/>
        <v>0.17380438235040432</v>
      </c>
      <c r="P63" s="858" t="str">
        <f t="shared" si="5"/>
        <v/>
      </c>
    </row>
    <row r="64" spans="1:17" ht="15.75">
      <c r="A64" s="799"/>
      <c r="B64" s="793"/>
      <c r="C64" s="83" t="s">
        <v>64</v>
      </c>
      <c r="D64" s="764" t="s">
        <v>127</v>
      </c>
      <c r="E64" s="85">
        <f>SUM('Adjusted jurisdiction data'!E67,'Adjusted jurisdiction data'!E142,'Adjusted jurisdiction data'!E217,'Adjusted jurisdiction data'!E292,'Adjusted jurisdiction data'!E367,'Adjusted jurisdiction data'!E442,'Adjusted jurisdiction data'!E517,'Adjusted jurisdiction data'!E592)</f>
        <v>537833.13139329408</v>
      </c>
      <c r="F64" s="85">
        <f>SUM('Adjusted jurisdiction data'!F67,'Adjusted jurisdiction data'!F142,'Adjusted jurisdiction data'!F217,'Adjusted jurisdiction data'!F292,'Adjusted jurisdiction data'!F367,'Adjusted jurisdiction data'!F442,'Adjusted jurisdiction data'!F517,'Adjusted jurisdiction data'!F592)</f>
        <v>594814.61306001351</v>
      </c>
      <c r="G64" s="84"/>
      <c r="H64" s="89">
        <v>8</v>
      </c>
      <c r="I64" s="572" t="s">
        <v>133</v>
      </c>
      <c r="J64" s="85">
        <f>SUM('Adjusted jurisdiction data'!J67,'Adjusted jurisdiction data'!J142,'Adjusted jurisdiction data'!J217,'Adjusted jurisdiction data'!J292,'Adjusted jurisdiction data'!J367,'Adjusted jurisdiction data'!J442,'Adjusted jurisdiction data'!J517,'Adjusted jurisdiction data'!J592)</f>
        <v>204166</v>
      </c>
      <c r="K64" s="85">
        <f>SUM('Adjusted jurisdiction data'!K67,'Adjusted jurisdiction data'!K142,'Adjusted jurisdiction data'!K217,'Adjusted jurisdiction data'!K292,'Adjusted jurisdiction data'!K367,'Adjusted jurisdiction data'!K442,'Adjusted jurisdiction data'!K517,'Adjusted jurisdiction data'!K592)</f>
        <v>234311.5</v>
      </c>
      <c r="L64" s="864">
        <f t="shared" si="3"/>
        <v>438477.5</v>
      </c>
      <c r="N64" s="867">
        <v>435232.61745284253</v>
      </c>
      <c r="O64" s="868">
        <f t="shared" si="2"/>
        <v>7.455513252080769E-3</v>
      </c>
      <c r="P64" s="858" t="str">
        <f t="shared" si="5"/>
        <v/>
      </c>
    </row>
    <row r="65" spans="1:8">
      <c r="A65" s="799"/>
      <c r="B65" s="793"/>
      <c r="C65" s="83" t="s">
        <v>65</v>
      </c>
      <c r="D65" s="764" t="s">
        <v>166</v>
      </c>
      <c r="E65" s="85">
        <f>SUM('Adjusted jurisdiction data'!E68,'Adjusted jurisdiction data'!E143,'Adjusted jurisdiction data'!E218,'Adjusted jurisdiction data'!E293,'Adjusted jurisdiction data'!E368,'Adjusted jurisdiction data'!E443,'Adjusted jurisdiction data'!E518,'Adjusted jurisdiction data'!E593)</f>
        <v>362.35942857142845</v>
      </c>
      <c r="F65" s="85">
        <f>SUM('Adjusted jurisdiction data'!F68,'Adjusted jurisdiction data'!F143,'Adjusted jurisdiction data'!F218,'Adjusted jurisdiction data'!F293,'Adjusted jurisdiction data'!F368,'Adjusted jurisdiction data'!F443,'Adjusted jurisdiction data'!F518,'Adjusted jurisdiction data'!F593)</f>
        <v>575.75314371428578</v>
      </c>
      <c r="G65" s="106"/>
      <c r="H65" s="673"/>
    </row>
    <row r="66" spans="1:8">
      <c r="A66" s="799"/>
      <c r="B66" s="793"/>
      <c r="C66" s="83" t="s">
        <v>66</v>
      </c>
      <c r="D66" s="764" t="s">
        <v>173</v>
      </c>
      <c r="E66" s="85">
        <f>SUM('Adjusted jurisdiction data'!E69,'Adjusted jurisdiction data'!E144,'Adjusted jurisdiction data'!E219,'Adjusted jurisdiction data'!E294,'Adjusted jurisdiction data'!E369,'Adjusted jurisdiction data'!E444,'Adjusted jurisdiction data'!E519,'Adjusted jurisdiction data'!E594)</f>
        <v>2874.3723150722044</v>
      </c>
      <c r="F66" s="85">
        <f>SUM('Adjusted jurisdiction data'!F69,'Adjusted jurisdiction data'!F144,'Adjusted jurisdiction data'!F219,'Adjusted jurisdiction data'!F294,'Adjusted jurisdiction data'!F369,'Adjusted jurisdiction data'!F444,'Adjusted jurisdiction data'!F519,'Adjusted jurisdiction data'!F594)</f>
        <v>4492.0019055216617</v>
      </c>
      <c r="G66" s="106"/>
      <c r="H66" s="107"/>
    </row>
    <row r="67" spans="1:8">
      <c r="A67" s="799"/>
      <c r="B67" s="793"/>
      <c r="C67" s="83" t="s">
        <v>67</v>
      </c>
      <c r="D67" s="764" t="s">
        <v>174</v>
      </c>
      <c r="E67" s="85">
        <f>SUM('Adjusted jurisdiction data'!E70,'Adjusted jurisdiction data'!E145,'Adjusted jurisdiction data'!E220,'Adjusted jurisdiction data'!E295,'Adjusted jurisdiction data'!E370,'Adjusted jurisdiction data'!E445,'Adjusted jurisdiction data'!E520,'Adjusted jurisdiction data'!E595)</f>
        <v>17538.014698207335</v>
      </c>
      <c r="F67" s="85">
        <f>SUM('Adjusted jurisdiction data'!F70,'Adjusted jurisdiction data'!F145,'Adjusted jurisdiction data'!F220,'Adjusted jurisdiction data'!F295,'Adjusted jurisdiction data'!F370,'Adjusted jurisdiction data'!F445,'Adjusted jurisdiction data'!F520,'Adjusted jurisdiction data'!F595)</f>
        <v>17507.481115540926</v>
      </c>
      <c r="G67" s="106"/>
      <c r="H67" s="107"/>
    </row>
    <row r="68" spans="1:8">
      <c r="A68" s="799"/>
      <c r="B68" s="793"/>
      <c r="C68" s="83" t="s">
        <v>68</v>
      </c>
      <c r="D68" s="764" t="s">
        <v>175</v>
      </c>
      <c r="E68" s="85">
        <f>SUM('Adjusted jurisdiction data'!E71,'Adjusted jurisdiction data'!E146,'Adjusted jurisdiction data'!E221,'Adjusted jurisdiction data'!E296,'Adjusted jurisdiction data'!E371,'Adjusted jurisdiction data'!E446,'Adjusted jurisdiction data'!E521,'Adjusted jurisdiction data'!E596)</f>
        <v>7028.4179999999997</v>
      </c>
      <c r="F68" s="85">
        <f>SUM('Adjusted jurisdiction data'!F71,'Adjusted jurisdiction data'!F146,'Adjusted jurisdiction data'!F221,'Adjusted jurisdiction data'!F296,'Adjusted jurisdiction data'!F371,'Adjusted jurisdiction data'!F446,'Adjusted jurisdiction data'!F521,'Adjusted jurisdiction data'!F596)</f>
        <v>8357.8638009999977</v>
      </c>
      <c r="G68" s="106"/>
      <c r="H68" s="107"/>
    </row>
    <row r="69" spans="1:8">
      <c r="A69" s="799"/>
      <c r="B69" s="793"/>
      <c r="C69" s="83" t="s">
        <v>128</v>
      </c>
      <c r="D69" s="764" t="s">
        <v>167</v>
      </c>
      <c r="E69" s="85">
        <f>SUM('Adjusted jurisdiction data'!E72,'Adjusted jurisdiction data'!E147,'Adjusted jurisdiction data'!E222,'Adjusted jurisdiction data'!E297,'Adjusted jurisdiction data'!E372,'Adjusted jurisdiction data'!E447,'Adjusted jurisdiction data'!E522,'Adjusted jurisdiction data'!E597)</f>
        <v>855230.25635273894</v>
      </c>
      <c r="F69" s="85">
        <f>SUM('Adjusted jurisdiction data'!F72,'Adjusted jurisdiction data'!F147,'Adjusted jurisdiction data'!F222,'Adjusted jurisdiction data'!F297,'Adjusted jurisdiction data'!F372,'Adjusted jurisdiction data'!F447,'Adjusted jurisdiction data'!F522,'Adjusted jurisdiction data'!F597)</f>
        <v>874303.2313023567</v>
      </c>
      <c r="G69" s="106"/>
      <c r="H69" s="107"/>
    </row>
    <row r="70" spans="1:8">
      <c r="A70" s="799"/>
      <c r="B70" s="793"/>
      <c r="C70" s="83" t="s">
        <v>69</v>
      </c>
      <c r="D70" s="764" t="s">
        <v>129</v>
      </c>
      <c r="E70" s="85">
        <f>SUM('Adjusted jurisdiction data'!E73,'Adjusted jurisdiction data'!E148,'Adjusted jurisdiction data'!E223,'Adjusted jurisdiction data'!E298,'Adjusted jurisdiction data'!E373,'Adjusted jurisdiction data'!E448,'Adjusted jurisdiction data'!E523,'Adjusted jurisdiction data'!E598)</f>
        <v>356717.63809954672</v>
      </c>
      <c r="F70" s="85">
        <f>SUM('Adjusted jurisdiction data'!F73,'Adjusted jurisdiction data'!F148,'Adjusted jurisdiction data'!F223,'Adjusted jurisdiction data'!F298,'Adjusted jurisdiction data'!F373,'Adjusted jurisdiction data'!F448,'Adjusted jurisdiction data'!F523,'Adjusted jurisdiction data'!F598)</f>
        <v>372564.68250536284</v>
      </c>
      <c r="G70" s="106"/>
      <c r="H70" s="107"/>
    </row>
    <row r="71" spans="1:8">
      <c r="A71" s="800"/>
      <c r="B71" s="796"/>
      <c r="C71" s="83" t="s">
        <v>70</v>
      </c>
      <c r="D71" s="764" t="s">
        <v>168</v>
      </c>
      <c r="E71" s="85">
        <f>SUM('Adjusted jurisdiction data'!E74,'Adjusted jurisdiction data'!E149,'Adjusted jurisdiction data'!E224,'Adjusted jurisdiction data'!E299,'Adjusted jurisdiction data'!E374,'Adjusted jurisdiction data'!E449,'Adjusted jurisdiction data'!E524,'Adjusted jurisdiction data'!E599)</f>
        <v>991.78146374591097</v>
      </c>
      <c r="F71" s="85">
        <f>SUM('Adjusted jurisdiction data'!F74,'Adjusted jurisdiction data'!F149,'Adjusted jurisdiction data'!F224,'Adjusted jurisdiction data'!F299,'Adjusted jurisdiction data'!F374,'Adjusted jurisdiction data'!F449,'Adjusted jurisdiction data'!F524,'Adjusted jurisdiction data'!F599)</f>
        <v>2009.0915062097729</v>
      </c>
      <c r="G71" s="106"/>
      <c r="H71" s="107"/>
    </row>
    <row r="72" spans="1:8">
      <c r="A72" s="798" t="s">
        <v>71</v>
      </c>
      <c r="B72" s="790" t="s">
        <v>169</v>
      </c>
      <c r="C72" s="83" t="s">
        <v>72</v>
      </c>
      <c r="D72" s="764" t="s">
        <v>170</v>
      </c>
      <c r="E72" s="85">
        <f>SUM('Adjusted jurisdiction data'!E75,'Adjusted jurisdiction data'!E150,'Adjusted jurisdiction data'!E225,'Adjusted jurisdiction data'!E300,'Adjusted jurisdiction data'!E375,'Adjusted jurisdiction data'!E450,'Adjusted jurisdiction data'!E525,'Adjusted jurisdiction data'!E600)</f>
        <v>32391.646022577872</v>
      </c>
      <c r="F72" s="85">
        <f>SUM('Adjusted jurisdiction data'!F75,'Adjusted jurisdiction data'!F150,'Adjusted jurisdiction data'!F225,'Adjusted jurisdiction data'!F300,'Adjusted jurisdiction data'!F375,'Adjusted jurisdiction data'!F450,'Adjusted jurisdiction data'!F525,'Adjusted jurisdiction data'!F600)</f>
        <v>33645.018778711463</v>
      </c>
      <c r="G72" s="106"/>
      <c r="H72" s="107"/>
    </row>
    <row r="73" spans="1:8">
      <c r="A73" s="799"/>
      <c r="B73" s="793"/>
      <c r="C73" s="83" t="s">
        <v>73</v>
      </c>
      <c r="D73" s="764" t="s">
        <v>130</v>
      </c>
      <c r="E73" s="85">
        <f>SUM('Adjusted jurisdiction data'!E76,'Adjusted jurisdiction data'!E151,'Adjusted jurisdiction data'!E226,'Adjusted jurisdiction data'!E301,'Adjusted jurisdiction data'!E376,'Adjusted jurisdiction data'!E451,'Adjusted jurisdiction data'!E526,'Adjusted jurisdiction data'!E601)</f>
        <v>2598.9448563737433</v>
      </c>
      <c r="F73" s="85">
        <f>SUM('Adjusted jurisdiction data'!F76,'Adjusted jurisdiction data'!F151,'Adjusted jurisdiction data'!F226,'Adjusted jurisdiction data'!F301,'Adjusted jurisdiction data'!F376,'Adjusted jurisdiction data'!F451,'Adjusted jurisdiction data'!F526,'Adjusted jurisdiction data'!F601)</f>
        <v>2101.9524476274278</v>
      </c>
      <c r="G73" s="106"/>
      <c r="H73" s="107"/>
    </row>
    <row r="74" spans="1:8">
      <c r="A74" s="800"/>
      <c r="B74" s="796"/>
      <c r="C74" s="83" t="s">
        <v>74</v>
      </c>
      <c r="D74" s="764" t="s">
        <v>131</v>
      </c>
      <c r="E74" s="85">
        <f>SUM('Adjusted jurisdiction data'!E77,'Adjusted jurisdiction data'!E152,'Adjusted jurisdiction data'!E227,'Adjusted jurisdiction data'!E302,'Adjusted jurisdiction data'!E377,'Adjusted jurisdiction data'!E452,'Adjusted jurisdiction data'!E527,'Adjusted jurisdiction data'!E602)</f>
        <v>329.08150257753749</v>
      </c>
      <c r="F74" s="85">
        <f>SUM('Adjusted jurisdiction data'!F77,'Adjusted jurisdiction data'!F152,'Adjusted jurisdiction data'!F227,'Adjusted jurisdiction data'!F302,'Adjusted jurisdiction data'!F377,'Adjusted jurisdiction data'!F452,'Adjusted jurisdiction data'!F527,'Adjusted jurisdiction data'!F602)</f>
        <v>824.4960997043712</v>
      </c>
      <c r="G74" s="106"/>
      <c r="H74" s="107"/>
    </row>
    <row r="75" spans="1:8" ht="38.25">
      <c r="A75" s="798" t="s">
        <v>75</v>
      </c>
      <c r="B75" s="790" t="s">
        <v>76</v>
      </c>
      <c r="C75" s="83" t="s">
        <v>77</v>
      </c>
      <c r="D75" s="764" t="s">
        <v>171</v>
      </c>
      <c r="E75" s="85">
        <f>SUM('Adjusted jurisdiction data'!E78,'Adjusted jurisdiction data'!E153,'Adjusted jurisdiction data'!E228,'Adjusted jurisdiction data'!E303,'Adjusted jurisdiction data'!E378,'Adjusted jurisdiction data'!E453,'Adjusted jurisdiction data'!E528,'Adjusted jurisdiction data'!E603)</f>
        <v>1362.0055419098517</v>
      </c>
      <c r="F75" s="85">
        <f>SUM('Adjusted jurisdiction data'!F78,'Adjusted jurisdiction data'!F153,'Adjusted jurisdiction data'!F228,'Adjusted jurisdiction data'!F303,'Adjusted jurisdiction data'!F378,'Adjusted jurisdiction data'!F453,'Adjusted jurisdiction data'!F528,'Adjusted jurisdiction data'!F603)</f>
        <v>2015.2299800641783</v>
      </c>
      <c r="G75" s="106"/>
      <c r="H75" s="107"/>
    </row>
    <row r="76" spans="1:8">
      <c r="A76" s="799"/>
      <c r="B76" s="793"/>
      <c r="C76" s="83" t="s">
        <v>78</v>
      </c>
      <c r="D76" s="764" t="s">
        <v>132</v>
      </c>
      <c r="E76" s="85">
        <f>SUM('Adjusted jurisdiction data'!E79,'Adjusted jurisdiction data'!E154,'Adjusted jurisdiction data'!E229,'Adjusted jurisdiction data'!E304,'Adjusted jurisdiction data'!E379,'Adjusted jurisdiction data'!E454,'Adjusted jurisdiction data'!E529,'Adjusted jurisdiction data'!E604)</f>
        <v>383.1475359719268</v>
      </c>
      <c r="F76" s="85">
        <f>SUM('Adjusted jurisdiction data'!F79,'Adjusted jurisdiction data'!F154,'Adjusted jurisdiction data'!F229,'Adjusted jurisdiction data'!F304,'Adjusted jurisdiction data'!F379,'Adjusted jurisdiction data'!F454,'Adjusted jurisdiction data'!F529,'Adjusted jurisdiction data'!F604)</f>
        <v>390.19151207162798</v>
      </c>
      <c r="G76" s="106"/>
      <c r="H76" s="107"/>
    </row>
    <row r="77" spans="1:8">
      <c r="A77" s="799"/>
      <c r="B77" s="793"/>
      <c r="C77" s="83" t="s">
        <v>134</v>
      </c>
      <c r="D77" s="764" t="s">
        <v>133</v>
      </c>
      <c r="E77" s="85">
        <f>SUM('Adjusted jurisdiction data'!E80,'Adjusted jurisdiction data'!E155,'Adjusted jurisdiction data'!E230,'Adjusted jurisdiction data'!E305,'Adjusted jurisdiction data'!E380,'Adjusted jurisdiction data'!E455,'Adjusted jurisdiction data'!E530,'Adjusted jurisdiction data'!E605)</f>
        <v>204166</v>
      </c>
      <c r="F77" s="85">
        <f>SUM('Adjusted jurisdiction data'!F80,'Adjusted jurisdiction data'!F155,'Adjusted jurisdiction data'!F230,'Adjusted jurisdiction data'!F305,'Adjusted jurisdiction data'!F380,'Adjusted jurisdiction data'!F455,'Adjusted jurisdiction data'!F530,'Adjusted jurisdiction data'!F605)</f>
        <v>234311.5</v>
      </c>
      <c r="G77" s="106"/>
      <c r="H77" s="107"/>
    </row>
    <row r="78" spans="1:8">
      <c r="A78" s="800"/>
      <c r="B78" s="796"/>
      <c r="C78" s="83" t="s">
        <v>172</v>
      </c>
      <c r="D78" s="764" t="s">
        <v>135</v>
      </c>
      <c r="E78" s="85">
        <f>SUM('Adjusted jurisdiction data'!E81,'Adjusted jurisdiction data'!E156,'Adjusted jurisdiction data'!E231,'Adjusted jurisdiction data'!E306,'Adjusted jurisdiction data'!E381,'Adjusted jurisdiction data'!E456,'Adjusted jurisdiction data'!E531,'Adjusted jurisdiction data'!E606)</f>
        <v>545.84964412443355</v>
      </c>
      <c r="F78" s="85">
        <f>SUM('Adjusted jurisdiction data'!F81,'Adjusted jurisdiction data'!F156,'Adjusted jurisdiction data'!F231,'Adjusted jurisdiction data'!F306,'Adjusted jurisdiction data'!F381,'Adjusted jurisdiction data'!F456,'Adjusted jurisdiction data'!F531,'Adjusted jurisdiction data'!F606)</f>
        <v>307.2448928446787</v>
      </c>
      <c r="G78" s="106"/>
      <c r="H78" s="107"/>
    </row>
    <row r="79" spans="1:8">
      <c r="G79" s="109"/>
      <c r="H79" s="107"/>
    </row>
  </sheetData>
  <sheetProtection sheet="1" objects="1" scenarios="1"/>
  <mergeCells count="5">
    <mergeCell ref="A5:D5"/>
    <mergeCell ref="H5:I5"/>
    <mergeCell ref="B37:B38"/>
    <mergeCell ref="E5:F5"/>
    <mergeCell ref="J5:K5"/>
  </mergeCells>
  <pageMargins left="0.7" right="0.7" top="0.75" bottom="0.75" header="0.3" footer="0.3"/>
  <pageSetup paperSize="9" orientation="portrait" verticalDpi="0" r:id="rId1"/>
  <legacyDrawing r:id="rId2"/>
</worksheet>
</file>

<file path=xl/worksheets/sheet14.xml><?xml version="1.0" encoding="utf-8"?>
<worksheet xmlns="http://schemas.openxmlformats.org/spreadsheetml/2006/main" xmlns:r="http://schemas.openxmlformats.org/officeDocument/2006/relationships">
  <sheetPr>
    <tabColor rgb="FF0000FF"/>
  </sheetPr>
  <dimension ref="A1:AD79"/>
  <sheetViews>
    <sheetView zoomScale="80" zoomScaleNormal="80" workbookViewId="0">
      <pane ySplit="4" topLeftCell="A5" activePane="bottomLeft" state="frozen"/>
      <selection pane="bottomLeft" activeCell="A5" sqref="A5"/>
    </sheetView>
  </sheetViews>
  <sheetFormatPr defaultColWidth="9.140625" defaultRowHeight="12.75"/>
  <cols>
    <col min="1" max="1" width="10.85546875" style="4" customWidth="1"/>
    <col min="2" max="2" width="50.140625" style="4" customWidth="1"/>
    <col min="3" max="3" width="10.85546875" style="4" customWidth="1"/>
    <col min="4" max="4" width="9.28515625" style="4" customWidth="1"/>
    <col min="5" max="5" width="14.28515625" style="4" bestFit="1" customWidth="1"/>
    <col min="6" max="6" width="8.42578125" style="4" customWidth="1"/>
    <col min="7" max="7" width="10.5703125" style="4" customWidth="1"/>
    <col min="8" max="8" width="31.5703125" style="4" customWidth="1"/>
    <col min="9" max="9" width="20.42578125" style="811" customWidth="1"/>
    <col min="10" max="10" width="15.140625" style="4" customWidth="1"/>
    <col min="11" max="11" width="10.7109375" style="4" customWidth="1"/>
    <col min="12" max="12" width="10.28515625" style="4" customWidth="1"/>
    <col min="13" max="13" width="11.42578125" style="4" customWidth="1"/>
    <col min="14" max="14" width="11" style="4" customWidth="1"/>
    <col min="15" max="15" width="10.28515625" style="4" customWidth="1"/>
    <col min="16" max="16" width="11.42578125" style="4" customWidth="1"/>
    <col min="17" max="17" width="11" style="4" customWidth="1"/>
    <col min="18" max="18" width="10.28515625" style="4" customWidth="1"/>
    <col min="19" max="19" width="11.42578125" style="4" customWidth="1"/>
    <col min="20" max="20" width="11" style="4" customWidth="1"/>
    <col min="21" max="21" width="10.28515625" style="4" customWidth="1"/>
    <col min="22" max="22" width="11.42578125" style="4" customWidth="1"/>
    <col min="23" max="23" width="11" style="4" customWidth="1"/>
    <col min="24" max="24" width="10.28515625" style="4" customWidth="1"/>
    <col min="25" max="25" width="11.42578125" style="4" customWidth="1"/>
    <col min="26" max="26" width="11" style="4" customWidth="1"/>
    <col min="27" max="27" width="10.28515625" style="4" customWidth="1"/>
    <col min="28" max="28" width="11.42578125" style="4" customWidth="1"/>
    <col min="29" max="29" width="11" style="4" customWidth="1"/>
    <col min="30" max="16384" width="9.140625" style="4"/>
  </cols>
  <sheetData>
    <row r="1" spans="1:30" s="5" customFormat="1" ht="21">
      <c r="A1" s="7" t="s">
        <v>839</v>
      </c>
      <c r="E1" s="17"/>
      <c r="F1" s="6"/>
      <c r="G1" s="6"/>
      <c r="H1" s="6"/>
      <c r="I1" s="810"/>
      <c r="J1" s="6"/>
      <c r="K1" s="6"/>
      <c r="L1" s="6"/>
      <c r="M1" s="6"/>
      <c r="N1" s="6"/>
      <c r="O1" s="6"/>
      <c r="P1" s="6"/>
      <c r="Q1" s="6"/>
      <c r="R1" s="6"/>
      <c r="S1" s="6"/>
      <c r="T1" s="6"/>
      <c r="U1" s="6"/>
      <c r="V1" s="6"/>
      <c r="W1" s="6"/>
      <c r="X1" s="6"/>
      <c r="Y1" s="6"/>
      <c r="Z1" s="6"/>
      <c r="AA1" s="6"/>
      <c r="AB1" s="6"/>
      <c r="AC1" s="6"/>
      <c r="AD1" s="6"/>
    </row>
    <row r="2" spans="1:30" s="8" customFormat="1" ht="5.25" customHeight="1">
      <c r="C2" s="1"/>
      <c r="D2" s="2"/>
      <c r="E2" s="9"/>
      <c r="F2" s="3"/>
      <c r="G2" s="1"/>
      <c r="I2" s="1"/>
      <c r="J2" s="1"/>
      <c r="L2" s="3"/>
      <c r="M2" s="1"/>
      <c r="O2" s="3"/>
      <c r="P2" s="1"/>
      <c r="R2" s="3"/>
      <c r="S2" s="1"/>
      <c r="U2" s="3"/>
      <c r="V2" s="1"/>
      <c r="X2" s="3"/>
      <c r="Y2" s="1"/>
      <c r="AA2" s="3"/>
      <c r="AB2" s="1"/>
    </row>
    <row r="3" spans="1:30">
      <c r="A3" s="815" t="s">
        <v>1018</v>
      </c>
    </row>
    <row r="4" spans="1:30" s="8" customFormat="1" ht="5.25" customHeight="1">
      <c r="C4" s="1"/>
      <c r="D4" s="2"/>
      <c r="E4" s="9"/>
      <c r="F4" s="3"/>
      <c r="G4" s="1"/>
      <c r="I4" s="1"/>
      <c r="J4" s="1"/>
      <c r="L4" s="3"/>
      <c r="M4" s="1"/>
      <c r="O4" s="3"/>
      <c r="P4" s="1"/>
      <c r="R4" s="3"/>
      <c r="S4" s="1"/>
      <c r="U4" s="3"/>
      <c r="V4" s="1"/>
      <c r="X4" s="3"/>
      <c r="Y4" s="1"/>
      <c r="AA4" s="3"/>
      <c r="AB4" s="1"/>
    </row>
    <row r="5" spans="1:30" s="813" customFormat="1" ht="15.75">
      <c r="A5" s="813" t="s">
        <v>964</v>
      </c>
      <c r="I5" s="814"/>
    </row>
    <row r="6" spans="1:30">
      <c r="A6" s="816"/>
      <c r="B6" s="816"/>
      <c r="C6" s="816"/>
      <c r="D6" s="816"/>
      <c r="E6" s="816"/>
      <c r="F6" s="816"/>
      <c r="G6" s="817"/>
      <c r="H6" s="816"/>
      <c r="I6" s="818"/>
      <c r="J6" s="816"/>
      <c r="K6" s="816"/>
    </row>
    <row r="7" spans="1:30">
      <c r="A7" s="816"/>
      <c r="B7" s="816"/>
      <c r="C7" s="816"/>
      <c r="D7" s="816"/>
      <c r="E7" s="816"/>
      <c r="F7" s="816"/>
      <c r="G7" s="817"/>
      <c r="H7" s="816"/>
      <c r="I7" s="818"/>
      <c r="J7" s="816"/>
      <c r="K7" s="816"/>
    </row>
    <row r="8" spans="1:30">
      <c r="A8" s="816"/>
      <c r="B8" s="816"/>
      <c r="C8" s="816"/>
      <c r="D8" s="816"/>
      <c r="E8" s="816"/>
      <c r="F8" s="816"/>
      <c r="G8" s="817"/>
      <c r="H8" s="816"/>
      <c r="I8" s="818"/>
      <c r="J8" s="816"/>
      <c r="K8" s="816"/>
    </row>
    <row r="9" spans="1:30">
      <c r="A9" s="816"/>
      <c r="B9" s="816"/>
      <c r="C9" s="816"/>
      <c r="D9" s="816"/>
      <c r="E9" s="816"/>
      <c r="F9" s="816"/>
      <c r="G9" s="817"/>
      <c r="H9" s="816"/>
      <c r="I9" s="818"/>
      <c r="J9" s="816"/>
      <c r="K9" s="816"/>
    </row>
    <row r="10" spans="1:30">
      <c r="A10" s="816"/>
      <c r="B10" s="816"/>
      <c r="C10" s="816"/>
      <c r="D10" s="816"/>
      <c r="E10" s="816"/>
      <c r="F10" s="816"/>
      <c r="G10" s="817"/>
      <c r="H10" s="816"/>
      <c r="I10" s="818"/>
      <c r="J10" s="816"/>
      <c r="K10" s="816"/>
    </row>
    <row r="11" spans="1:30">
      <c r="A11" s="816"/>
      <c r="B11" s="816"/>
      <c r="C11" s="816"/>
      <c r="D11" s="816"/>
      <c r="E11" s="816"/>
      <c r="F11" s="816"/>
      <c r="G11" s="817"/>
      <c r="H11" s="816"/>
      <c r="I11" s="818"/>
      <c r="J11" s="816"/>
      <c r="K11" s="816"/>
    </row>
    <row r="12" spans="1:30">
      <c r="A12" s="1061" t="s">
        <v>888</v>
      </c>
      <c r="B12" s="1061"/>
      <c r="C12" s="1061"/>
      <c r="D12" s="1061" t="s">
        <v>889</v>
      </c>
      <c r="E12" s="1061"/>
      <c r="F12" s="1061"/>
      <c r="G12" s="1062"/>
      <c r="H12" s="1063"/>
      <c r="I12" s="1063"/>
      <c r="J12" s="1063"/>
      <c r="K12" s="1064"/>
    </row>
    <row r="13" spans="1:30" ht="27">
      <c r="A13" s="1061" t="s">
        <v>890</v>
      </c>
      <c r="B13" s="1061"/>
      <c r="C13" s="1061" t="s">
        <v>891</v>
      </c>
      <c r="D13" s="809" t="s">
        <v>892</v>
      </c>
      <c r="E13" s="835" t="s">
        <v>893</v>
      </c>
      <c r="F13" s="1061" t="s">
        <v>894</v>
      </c>
      <c r="G13" s="1065" t="s">
        <v>895</v>
      </c>
      <c r="H13" s="1067" t="s">
        <v>896</v>
      </c>
      <c r="I13" s="1067" t="s">
        <v>897</v>
      </c>
      <c r="J13" s="1069" t="s">
        <v>898</v>
      </c>
      <c r="K13" s="1069" t="s">
        <v>899</v>
      </c>
    </row>
    <row r="14" spans="1:30" ht="39.75">
      <c r="A14" s="809" t="s">
        <v>900</v>
      </c>
      <c r="B14" s="809" t="s">
        <v>901</v>
      </c>
      <c r="C14" s="1061"/>
      <c r="D14" s="809"/>
      <c r="E14" s="809"/>
      <c r="F14" s="1061"/>
      <c r="G14" s="1066"/>
      <c r="H14" s="1068"/>
      <c r="I14" s="1068"/>
      <c r="J14" s="1070"/>
      <c r="K14" s="1070"/>
    </row>
    <row r="15" spans="1:30">
      <c r="A15" s="824">
        <v>31</v>
      </c>
      <c r="B15" s="828" t="s">
        <v>902</v>
      </c>
      <c r="C15" s="807" t="s">
        <v>903</v>
      </c>
      <c r="D15" s="824">
        <v>9</v>
      </c>
      <c r="E15" s="824" t="s">
        <v>904</v>
      </c>
      <c r="F15" s="822"/>
      <c r="G15" s="808">
        <v>3600</v>
      </c>
      <c r="H15" s="829" t="s">
        <v>905</v>
      </c>
      <c r="I15" s="824" t="s">
        <v>906</v>
      </c>
      <c r="J15" s="807" t="s">
        <v>905</v>
      </c>
      <c r="K15" s="807" t="s">
        <v>907</v>
      </c>
    </row>
    <row r="16" spans="1:30" ht="25.5">
      <c r="A16" s="812" t="s">
        <v>905</v>
      </c>
      <c r="B16" s="828" t="s">
        <v>908</v>
      </c>
      <c r="C16" s="807" t="s">
        <v>909</v>
      </c>
      <c r="D16" s="824">
        <v>4.2</v>
      </c>
      <c r="E16" s="824">
        <v>4.2</v>
      </c>
      <c r="F16" s="822"/>
      <c r="G16" s="808">
        <v>104</v>
      </c>
      <c r="H16" s="830" t="s">
        <v>910</v>
      </c>
      <c r="I16" s="812" t="s">
        <v>911</v>
      </c>
      <c r="J16" s="825" t="s">
        <v>905</v>
      </c>
      <c r="K16" s="825" t="s">
        <v>912</v>
      </c>
    </row>
    <row r="17" spans="1:11">
      <c r="A17" s="824">
        <v>31</v>
      </c>
      <c r="B17" s="828" t="s">
        <v>902</v>
      </c>
      <c r="C17" s="820" t="s">
        <v>903</v>
      </c>
      <c r="D17" s="824">
        <v>9</v>
      </c>
      <c r="E17" s="824" t="s">
        <v>904</v>
      </c>
      <c r="F17" s="822"/>
      <c r="G17" s="808">
        <v>6000</v>
      </c>
      <c r="H17" s="829" t="s">
        <v>905</v>
      </c>
      <c r="I17" s="824" t="s">
        <v>906</v>
      </c>
      <c r="J17" s="807" t="s">
        <v>905</v>
      </c>
      <c r="K17" s="807" t="s">
        <v>907</v>
      </c>
    </row>
    <row r="18" spans="1:11">
      <c r="A18" s="824">
        <v>26</v>
      </c>
      <c r="B18" s="828" t="s">
        <v>913</v>
      </c>
      <c r="C18" s="807" t="s">
        <v>914</v>
      </c>
      <c r="D18" s="824">
        <v>9</v>
      </c>
      <c r="E18" s="824">
        <v>11</v>
      </c>
      <c r="F18" s="822"/>
      <c r="G18" s="808">
        <v>100</v>
      </c>
      <c r="H18" s="829" t="s">
        <v>905</v>
      </c>
      <c r="I18" s="824" t="s">
        <v>906</v>
      </c>
      <c r="J18" s="825" t="s">
        <v>905</v>
      </c>
      <c r="K18" s="807" t="s">
        <v>907</v>
      </c>
    </row>
    <row r="19" spans="1:11" ht="25.5">
      <c r="A19" s="824">
        <v>23</v>
      </c>
      <c r="B19" s="828" t="s">
        <v>908</v>
      </c>
      <c r="C19" s="807" t="s">
        <v>909</v>
      </c>
      <c r="D19" s="824">
        <v>4.2</v>
      </c>
      <c r="E19" s="824" t="s">
        <v>915</v>
      </c>
      <c r="F19" s="822"/>
      <c r="G19" s="808">
        <v>37.200000000000003</v>
      </c>
      <c r="H19" s="829" t="s">
        <v>916</v>
      </c>
      <c r="I19" s="812" t="s">
        <v>917</v>
      </c>
      <c r="J19" s="825" t="s">
        <v>905</v>
      </c>
      <c r="K19" s="807" t="s">
        <v>907</v>
      </c>
    </row>
    <row r="20" spans="1:11" ht="25.5">
      <c r="A20" s="812" t="s">
        <v>905</v>
      </c>
      <c r="B20" s="828" t="s">
        <v>908</v>
      </c>
      <c r="C20" s="807" t="s">
        <v>909</v>
      </c>
      <c r="D20" s="824">
        <v>9</v>
      </c>
      <c r="E20" s="824">
        <v>12</v>
      </c>
      <c r="F20" s="822"/>
      <c r="G20" s="808">
        <v>20</v>
      </c>
      <c r="H20" s="829" t="s">
        <v>918</v>
      </c>
      <c r="I20" s="812" t="s">
        <v>919</v>
      </c>
      <c r="J20" s="825" t="s">
        <v>905</v>
      </c>
      <c r="K20" s="807" t="s">
        <v>907</v>
      </c>
    </row>
    <row r="21" spans="1:11" ht="25.5">
      <c r="A21" s="824">
        <v>23</v>
      </c>
      <c r="B21" s="828" t="s">
        <v>908</v>
      </c>
      <c r="C21" s="807" t="s">
        <v>909</v>
      </c>
      <c r="D21" s="824">
        <v>9</v>
      </c>
      <c r="E21" s="824">
        <v>12</v>
      </c>
      <c r="F21" s="822"/>
      <c r="G21" s="808">
        <v>60</v>
      </c>
      <c r="H21" s="829" t="s">
        <v>916</v>
      </c>
      <c r="I21" s="812" t="s">
        <v>917</v>
      </c>
      <c r="J21" s="825" t="s">
        <v>905</v>
      </c>
      <c r="K21" s="807" t="s">
        <v>907</v>
      </c>
    </row>
    <row r="22" spans="1:11" ht="25.5">
      <c r="A22" s="821">
        <v>23</v>
      </c>
      <c r="B22" s="828" t="s">
        <v>920</v>
      </c>
      <c r="C22" s="807" t="s">
        <v>914</v>
      </c>
      <c r="D22" s="821">
        <v>9</v>
      </c>
      <c r="E22" s="821" t="s">
        <v>921</v>
      </c>
      <c r="F22" s="822"/>
      <c r="G22" s="808">
        <v>120</v>
      </c>
      <c r="H22" s="829" t="s">
        <v>922</v>
      </c>
      <c r="I22" s="812" t="s">
        <v>923</v>
      </c>
      <c r="J22" s="807" t="s">
        <v>905</v>
      </c>
      <c r="K22" s="807" t="s">
        <v>907</v>
      </c>
    </row>
    <row r="23" spans="1:11">
      <c r="A23" s="824">
        <v>31</v>
      </c>
      <c r="B23" s="828" t="s">
        <v>902</v>
      </c>
      <c r="C23" s="820" t="s">
        <v>903</v>
      </c>
      <c r="D23" s="824">
        <v>9</v>
      </c>
      <c r="E23" s="824" t="s">
        <v>904</v>
      </c>
      <c r="F23" s="822"/>
      <c r="G23" s="808">
        <v>20000</v>
      </c>
      <c r="H23" s="829" t="s">
        <v>924</v>
      </c>
      <c r="I23" s="812" t="s">
        <v>925</v>
      </c>
      <c r="J23" s="807" t="s">
        <v>905</v>
      </c>
      <c r="K23" s="807" t="s">
        <v>907</v>
      </c>
    </row>
    <row r="24" spans="1:11">
      <c r="A24" s="824">
        <v>26</v>
      </c>
      <c r="B24" s="828" t="s">
        <v>926</v>
      </c>
      <c r="C24" s="807" t="s">
        <v>914</v>
      </c>
      <c r="D24" s="824">
        <v>8</v>
      </c>
      <c r="E24" s="824" t="s">
        <v>927</v>
      </c>
      <c r="F24" s="822"/>
      <c r="G24" s="808">
        <v>150</v>
      </c>
      <c r="H24" s="829" t="s">
        <v>905</v>
      </c>
      <c r="I24" s="824" t="s">
        <v>906</v>
      </c>
      <c r="J24" s="825" t="s">
        <v>905</v>
      </c>
      <c r="K24" s="807" t="s">
        <v>907</v>
      </c>
    </row>
    <row r="25" spans="1:11">
      <c r="A25" s="821">
        <v>3</v>
      </c>
      <c r="B25" s="828" t="s">
        <v>928</v>
      </c>
      <c r="C25" s="820" t="s">
        <v>929</v>
      </c>
      <c r="D25" s="821">
        <v>6.1</v>
      </c>
      <c r="E25" s="821" t="s">
        <v>930</v>
      </c>
      <c r="F25" s="822"/>
      <c r="G25" s="808">
        <v>24</v>
      </c>
      <c r="H25" s="829" t="s">
        <v>931</v>
      </c>
      <c r="I25" s="812" t="s">
        <v>932</v>
      </c>
      <c r="J25" s="825" t="s">
        <v>905</v>
      </c>
      <c r="K25" s="825" t="s">
        <v>907</v>
      </c>
    </row>
    <row r="26" spans="1:11">
      <c r="A26" s="824">
        <v>31</v>
      </c>
      <c r="B26" s="828" t="s">
        <v>933</v>
      </c>
      <c r="C26" s="820" t="s">
        <v>934</v>
      </c>
      <c r="D26" s="812">
        <v>8</v>
      </c>
      <c r="E26" s="824" t="s">
        <v>927</v>
      </c>
      <c r="F26" s="822"/>
      <c r="G26" s="808">
        <v>5500</v>
      </c>
      <c r="H26" s="829" t="s">
        <v>905</v>
      </c>
      <c r="I26" s="824" t="s">
        <v>906</v>
      </c>
      <c r="J26" s="825" t="s">
        <v>905</v>
      </c>
      <c r="K26" s="807" t="s">
        <v>907</v>
      </c>
    </row>
    <row r="27" spans="1:11" ht="51">
      <c r="A27" s="824" t="s">
        <v>935</v>
      </c>
      <c r="B27" s="828" t="s">
        <v>936</v>
      </c>
      <c r="C27" s="807" t="s">
        <v>914</v>
      </c>
      <c r="D27" s="812">
        <v>9</v>
      </c>
      <c r="E27" s="824" t="s">
        <v>937</v>
      </c>
      <c r="F27" s="822"/>
      <c r="G27" s="808">
        <v>60</v>
      </c>
      <c r="H27" s="829" t="s">
        <v>938</v>
      </c>
      <c r="I27" s="812" t="s">
        <v>917</v>
      </c>
      <c r="J27" s="825" t="s">
        <v>905</v>
      </c>
      <c r="K27" s="807" t="s">
        <v>907</v>
      </c>
    </row>
    <row r="28" spans="1:11">
      <c r="A28" s="824">
        <v>31</v>
      </c>
      <c r="B28" s="828" t="s">
        <v>939</v>
      </c>
      <c r="C28" s="820" t="s">
        <v>903</v>
      </c>
      <c r="D28" s="824">
        <v>9</v>
      </c>
      <c r="E28" s="824" t="s">
        <v>904</v>
      </c>
      <c r="F28" s="822"/>
      <c r="G28" s="808">
        <v>10000</v>
      </c>
      <c r="H28" s="829" t="s">
        <v>905</v>
      </c>
      <c r="I28" s="824" t="s">
        <v>906</v>
      </c>
      <c r="J28" s="825" t="s">
        <v>905</v>
      </c>
      <c r="K28" s="807" t="s">
        <v>907</v>
      </c>
    </row>
    <row r="29" spans="1:11">
      <c r="A29" s="824" t="s">
        <v>940</v>
      </c>
      <c r="B29" s="828" t="s">
        <v>941</v>
      </c>
      <c r="C29" s="820" t="s">
        <v>942</v>
      </c>
      <c r="D29" s="812" t="s">
        <v>943</v>
      </c>
      <c r="E29" s="824" t="s">
        <v>944</v>
      </c>
      <c r="F29" s="822"/>
      <c r="G29" s="808">
        <v>480</v>
      </c>
      <c r="H29" s="829" t="s">
        <v>905</v>
      </c>
      <c r="I29" s="824" t="s">
        <v>906</v>
      </c>
      <c r="J29" s="825" t="s">
        <v>905</v>
      </c>
      <c r="K29" s="807" t="s">
        <v>907</v>
      </c>
    </row>
    <row r="30" spans="1:11" ht="38.25">
      <c r="A30" s="824" t="s">
        <v>945</v>
      </c>
      <c r="B30" s="828" t="s">
        <v>908</v>
      </c>
      <c r="C30" s="807" t="s">
        <v>909</v>
      </c>
      <c r="D30" s="812">
        <v>9</v>
      </c>
      <c r="E30" s="824">
        <v>12</v>
      </c>
      <c r="F30" s="822"/>
      <c r="G30" s="808">
        <v>100</v>
      </c>
      <c r="H30" s="829" t="s">
        <v>946</v>
      </c>
      <c r="I30" s="812" t="s">
        <v>917</v>
      </c>
      <c r="J30" s="825" t="s">
        <v>905</v>
      </c>
      <c r="K30" s="807" t="s">
        <v>907</v>
      </c>
    </row>
    <row r="31" spans="1:11">
      <c r="A31" s="824">
        <v>31</v>
      </c>
      <c r="B31" s="828" t="s">
        <v>947</v>
      </c>
      <c r="C31" s="820" t="s">
        <v>948</v>
      </c>
      <c r="D31" s="812" t="s">
        <v>943</v>
      </c>
      <c r="E31" s="812" t="s">
        <v>930</v>
      </c>
      <c r="F31" s="822"/>
      <c r="G31" s="808">
        <v>4000</v>
      </c>
      <c r="H31" s="829" t="s">
        <v>905</v>
      </c>
      <c r="I31" s="824" t="s">
        <v>906</v>
      </c>
      <c r="J31" s="825" t="s">
        <v>905</v>
      </c>
      <c r="K31" s="807" t="s">
        <v>907</v>
      </c>
    </row>
    <row r="32" spans="1:11">
      <c r="A32" s="821" t="s">
        <v>949</v>
      </c>
      <c r="B32" s="828" t="s">
        <v>950</v>
      </c>
      <c r="C32" s="807" t="s">
        <v>914</v>
      </c>
      <c r="D32" s="821" t="s">
        <v>951</v>
      </c>
      <c r="E32" s="821" t="s">
        <v>952</v>
      </c>
      <c r="F32" s="822"/>
      <c r="G32" s="808">
        <v>700</v>
      </c>
      <c r="H32" s="829" t="s">
        <v>905</v>
      </c>
      <c r="I32" s="824" t="s">
        <v>906</v>
      </c>
      <c r="J32" s="807" t="s">
        <v>905</v>
      </c>
      <c r="K32" s="807" t="s">
        <v>907</v>
      </c>
    </row>
    <row r="33" spans="1:11">
      <c r="A33" s="824">
        <v>31</v>
      </c>
      <c r="B33" s="828" t="s">
        <v>953</v>
      </c>
      <c r="C33" s="820" t="s">
        <v>948</v>
      </c>
      <c r="D33" s="812">
        <v>9</v>
      </c>
      <c r="E33" s="824">
        <v>12</v>
      </c>
      <c r="F33" s="822"/>
      <c r="G33" s="808">
        <v>1100</v>
      </c>
      <c r="H33" s="829" t="s">
        <v>905</v>
      </c>
      <c r="I33" s="824" t="s">
        <v>906</v>
      </c>
      <c r="J33" s="825" t="s">
        <v>905</v>
      </c>
      <c r="K33" s="807" t="s">
        <v>907</v>
      </c>
    </row>
    <row r="34" spans="1:11">
      <c r="A34" s="821">
        <v>31</v>
      </c>
      <c r="B34" s="828" t="s">
        <v>939</v>
      </c>
      <c r="C34" s="820" t="s">
        <v>903</v>
      </c>
      <c r="D34" s="821">
        <v>9</v>
      </c>
      <c r="E34" s="821" t="s">
        <v>921</v>
      </c>
      <c r="F34" s="822"/>
      <c r="G34" s="808">
        <v>3600</v>
      </c>
      <c r="H34" s="829" t="s">
        <v>905</v>
      </c>
      <c r="I34" s="824" t="s">
        <v>906</v>
      </c>
      <c r="J34" s="807" t="s">
        <v>905</v>
      </c>
      <c r="K34" s="807" t="s">
        <v>907</v>
      </c>
    </row>
    <row r="35" spans="1:11">
      <c r="A35" s="812" t="s">
        <v>905</v>
      </c>
      <c r="B35" s="828" t="s">
        <v>908</v>
      </c>
      <c r="C35" s="807" t="s">
        <v>909</v>
      </c>
      <c r="D35" s="812">
        <v>4.2</v>
      </c>
      <c r="E35" s="824">
        <v>4.2</v>
      </c>
      <c r="F35" s="822"/>
      <c r="G35" s="808">
        <v>50</v>
      </c>
      <c r="H35" s="829" t="s">
        <v>954</v>
      </c>
      <c r="I35" s="824" t="s">
        <v>906</v>
      </c>
      <c r="J35" s="825" t="s">
        <v>905</v>
      </c>
      <c r="K35" s="825" t="s">
        <v>912</v>
      </c>
    </row>
    <row r="36" spans="1:11" ht="51">
      <c r="A36" s="824" t="s">
        <v>955</v>
      </c>
      <c r="B36" s="828" t="s">
        <v>956</v>
      </c>
      <c r="C36" s="807" t="s">
        <v>909</v>
      </c>
      <c r="D36" s="812">
        <v>4.2</v>
      </c>
      <c r="E36" s="824" t="s">
        <v>915</v>
      </c>
      <c r="F36" s="822"/>
      <c r="G36" s="808">
        <v>125</v>
      </c>
      <c r="H36" s="829" t="s">
        <v>957</v>
      </c>
      <c r="I36" s="812" t="s">
        <v>958</v>
      </c>
      <c r="J36" s="825" t="s">
        <v>905</v>
      </c>
      <c r="K36" s="807" t="s">
        <v>907</v>
      </c>
    </row>
    <row r="37" spans="1:11">
      <c r="A37" s="824">
        <v>31</v>
      </c>
      <c r="B37" s="828" t="s">
        <v>959</v>
      </c>
      <c r="C37" s="820" t="s">
        <v>948</v>
      </c>
      <c r="D37" s="812">
        <v>9</v>
      </c>
      <c r="E37" s="824">
        <v>12</v>
      </c>
      <c r="F37" s="822"/>
      <c r="G37" s="808">
        <v>4000</v>
      </c>
      <c r="H37" s="829" t="s">
        <v>905</v>
      </c>
      <c r="I37" s="824" t="s">
        <v>906</v>
      </c>
      <c r="J37" s="825" t="s">
        <v>905</v>
      </c>
      <c r="K37" s="807" t="s">
        <v>907</v>
      </c>
    </row>
    <row r="38" spans="1:11">
      <c r="A38" s="824">
        <v>31</v>
      </c>
      <c r="B38" s="828" t="s">
        <v>960</v>
      </c>
      <c r="C38" s="820" t="s">
        <v>948</v>
      </c>
      <c r="D38" s="812">
        <v>9</v>
      </c>
      <c r="E38" s="824">
        <v>12</v>
      </c>
      <c r="F38" s="822"/>
      <c r="G38" s="808">
        <v>1320</v>
      </c>
      <c r="H38" s="829" t="s">
        <v>905</v>
      </c>
      <c r="I38" s="824" t="s">
        <v>906</v>
      </c>
      <c r="J38" s="825" t="s">
        <v>905</v>
      </c>
      <c r="K38" s="807" t="s">
        <v>907</v>
      </c>
    </row>
    <row r="39" spans="1:11">
      <c r="A39" s="824">
        <v>31</v>
      </c>
      <c r="B39" s="828" t="s">
        <v>960</v>
      </c>
      <c r="C39" s="820" t="s">
        <v>948</v>
      </c>
      <c r="D39" s="812">
        <v>9</v>
      </c>
      <c r="E39" s="824">
        <v>12</v>
      </c>
      <c r="F39" s="822"/>
      <c r="G39" s="808">
        <v>2750</v>
      </c>
      <c r="H39" s="829" t="s">
        <v>905</v>
      </c>
      <c r="I39" s="824" t="s">
        <v>906</v>
      </c>
      <c r="J39" s="825" t="s">
        <v>905</v>
      </c>
      <c r="K39" s="807" t="s">
        <v>907</v>
      </c>
    </row>
    <row r="40" spans="1:11">
      <c r="A40" s="812" t="s">
        <v>961</v>
      </c>
      <c r="B40" s="828" t="s">
        <v>941</v>
      </c>
      <c r="C40" s="820" t="s">
        <v>942</v>
      </c>
      <c r="D40" s="812">
        <v>9</v>
      </c>
      <c r="E40" s="812" t="s">
        <v>904</v>
      </c>
      <c r="F40" s="822"/>
      <c r="G40" s="808">
        <v>150</v>
      </c>
      <c r="H40" s="829" t="s">
        <v>905</v>
      </c>
      <c r="I40" s="824" t="s">
        <v>906</v>
      </c>
      <c r="J40" s="825" t="s">
        <v>905</v>
      </c>
      <c r="K40" s="807" t="s">
        <v>907</v>
      </c>
    </row>
    <row r="41" spans="1:11">
      <c r="A41" s="834"/>
      <c r="B41" s="827"/>
      <c r="C41" s="823"/>
      <c r="D41" s="833"/>
      <c r="E41" s="833"/>
      <c r="F41" s="823" t="s">
        <v>962</v>
      </c>
      <c r="G41" s="831">
        <f>SUM(G15:G40)</f>
        <v>64150.2</v>
      </c>
      <c r="H41" s="832"/>
      <c r="I41" s="833"/>
      <c r="J41" s="823"/>
      <c r="K41" s="823"/>
    </row>
    <row r="42" spans="1:11">
      <c r="A42" s="1071" t="s">
        <v>963</v>
      </c>
      <c r="B42" s="1072"/>
      <c r="C42" s="1072"/>
      <c r="D42" s="1072"/>
      <c r="E42" s="1072"/>
      <c r="F42" s="1072"/>
      <c r="G42" s="1072"/>
      <c r="H42" s="1072"/>
      <c r="I42" s="1072"/>
      <c r="J42" s="1072"/>
      <c r="K42" s="1072"/>
    </row>
    <row r="43" spans="1:11">
      <c r="A43" s="1072"/>
      <c r="B43" s="1072"/>
      <c r="C43" s="1072"/>
      <c r="D43" s="1072"/>
      <c r="E43" s="1072"/>
      <c r="F43" s="1072"/>
      <c r="G43" s="1072"/>
      <c r="H43" s="1072"/>
      <c r="I43" s="1072"/>
      <c r="J43" s="1072"/>
      <c r="K43" s="1072"/>
    </row>
    <row r="44" spans="1:11">
      <c r="A44" s="1072"/>
      <c r="B44" s="1072"/>
      <c r="C44" s="1072"/>
      <c r="D44" s="1072"/>
      <c r="E44" s="1072"/>
      <c r="F44" s="1072"/>
      <c r="G44" s="1072"/>
      <c r="H44" s="1072"/>
      <c r="I44" s="1072"/>
      <c r="J44" s="1072"/>
      <c r="K44" s="1072"/>
    </row>
    <row r="45" spans="1:11">
      <c r="A45" s="1072"/>
      <c r="B45" s="1072"/>
      <c r="C45" s="1072"/>
      <c r="D45" s="1072"/>
      <c r="E45" s="1072"/>
      <c r="F45" s="1072"/>
      <c r="G45" s="1072"/>
      <c r="H45" s="1072"/>
      <c r="I45" s="1072"/>
      <c r="J45" s="1072"/>
      <c r="K45" s="1072"/>
    </row>
    <row r="47" spans="1:11" s="813" customFormat="1" ht="15.75">
      <c r="A47" s="813" t="s">
        <v>1017</v>
      </c>
      <c r="I47" s="814"/>
    </row>
    <row r="54" spans="1:11">
      <c r="A54" s="1073" t="s">
        <v>888</v>
      </c>
      <c r="B54" s="1073"/>
      <c r="C54" s="1073"/>
      <c r="D54" s="1073" t="s">
        <v>889</v>
      </c>
      <c r="E54" s="1073"/>
      <c r="F54" s="1073"/>
      <c r="G54" s="1062"/>
      <c r="H54" s="1074"/>
      <c r="I54" s="1074"/>
      <c r="J54" s="1074"/>
      <c r="K54" s="1075"/>
    </row>
    <row r="55" spans="1:11">
      <c r="A55" s="1073" t="s">
        <v>890</v>
      </c>
      <c r="B55" s="1073"/>
      <c r="C55" s="1073" t="s">
        <v>891</v>
      </c>
      <c r="D55" s="1073" t="s">
        <v>892</v>
      </c>
      <c r="E55" s="1082" t="s">
        <v>893</v>
      </c>
      <c r="F55" s="1073" t="s">
        <v>894</v>
      </c>
      <c r="G55" s="1084" t="s">
        <v>965</v>
      </c>
      <c r="H55" s="1076" t="s">
        <v>896</v>
      </c>
      <c r="I55" s="1076" t="s">
        <v>966</v>
      </c>
      <c r="J55" s="1076" t="s">
        <v>898</v>
      </c>
      <c r="K55" s="1078" t="s">
        <v>899</v>
      </c>
    </row>
    <row r="56" spans="1:11" ht="39.75">
      <c r="A56" s="836" t="s">
        <v>900</v>
      </c>
      <c r="B56" s="819" t="s">
        <v>901</v>
      </c>
      <c r="C56" s="1073"/>
      <c r="D56" s="1073"/>
      <c r="E56" s="1083"/>
      <c r="F56" s="1073"/>
      <c r="G56" s="1085"/>
      <c r="H56" s="1077"/>
      <c r="I56" s="1077"/>
      <c r="J56" s="1077"/>
      <c r="K56" s="1079"/>
    </row>
    <row r="57" spans="1:11" ht="25.5">
      <c r="A57" s="837" t="s">
        <v>967</v>
      </c>
      <c r="B57" s="812" t="s">
        <v>968</v>
      </c>
      <c r="C57" s="820" t="s">
        <v>969</v>
      </c>
      <c r="D57" s="821" t="s">
        <v>970</v>
      </c>
      <c r="E57" s="821" t="s">
        <v>971</v>
      </c>
      <c r="F57" s="822"/>
      <c r="G57" s="808">
        <v>32.299999999999997</v>
      </c>
      <c r="H57" s="823" t="s">
        <v>905</v>
      </c>
      <c r="I57" s="829" t="s">
        <v>972</v>
      </c>
      <c r="J57" s="807" t="s">
        <v>973</v>
      </c>
      <c r="K57" s="829" t="s">
        <v>974</v>
      </c>
    </row>
    <row r="58" spans="1:11" ht="25.5">
      <c r="A58" s="829">
        <v>8</v>
      </c>
      <c r="B58" s="812" t="s">
        <v>975</v>
      </c>
      <c r="C58" s="807" t="s">
        <v>976</v>
      </c>
      <c r="D58" s="812">
        <v>4.0999999999999996</v>
      </c>
      <c r="E58" s="812">
        <v>4.0999999999999996</v>
      </c>
      <c r="F58" s="822"/>
      <c r="G58" s="808">
        <v>75</v>
      </c>
      <c r="H58" s="823" t="s">
        <v>905</v>
      </c>
      <c r="I58" s="829" t="s">
        <v>977</v>
      </c>
      <c r="J58" s="807" t="s">
        <v>905</v>
      </c>
      <c r="K58" s="829" t="s">
        <v>978</v>
      </c>
    </row>
    <row r="59" spans="1:11">
      <c r="A59" s="829" t="s">
        <v>905</v>
      </c>
      <c r="B59" s="812" t="s">
        <v>979</v>
      </c>
      <c r="C59" s="807" t="s">
        <v>980</v>
      </c>
      <c r="D59" s="812">
        <v>5.0999999999999996</v>
      </c>
      <c r="E59" s="812">
        <v>5.0999999999999996</v>
      </c>
      <c r="F59" s="822"/>
      <c r="G59" s="808">
        <v>10</v>
      </c>
      <c r="H59" s="823" t="s">
        <v>905</v>
      </c>
      <c r="I59" s="829" t="s">
        <v>977</v>
      </c>
      <c r="J59" s="807" t="s">
        <v>981</v>
      </c>
      <c r="K59" s="829" t="s">
        <v>905</v>
      </c>
    </row>
    <row r="60" spans="1:11">
      <c r="A60" s="830">
        <v>12</v>
      </c>
      <c r="B60" s="812" t="s">
        <v>982</v>
      </c>
      <c r="C60" s="820" t="s">
        <v>934</v>
      </c>
      <c r="D60" s="824">
        <v>3</v>
      </c>
      <c r="E60" s="824">
        <v>3</v>
      </c>
      <c r="F60" s="822"/>
      <c r="G60" s="808">
        <v>13</v>
      </c>
      <c r="H60" s="823" t="s">
        <v>905</v>
      </c>
      <c r="I60" s="829" t="s">
        <v>977</v>
      </c>
      <c r="J60" s="825" t="s">
        <v>905</v>
      </c>
      <c r="K60" s="829" t="s">
        <v>983</v>
      </c>
    </row>
    <row r="61" spans="1:11">
      <c r="A61" s="830">
        <v>34</v>
      </c>
      <c r="B61" s="812" t="s">
        <v>6</v>
      </c>
      <c r="C61" s="825" t="s">
        <v>984</v>
      </c>
      <c r="D61" s="824">
        <v>8</v>
      </c>
      <c r="E61" s="824">
        <v>8</v>
      </c>
      <c r="F61" s="822"/>
      <c r="G61" s="808">
        <v>50</v>
      </c>
      <c r="H61" s="823" t="s">
        <v>905</v>
      </c>
      <c r="I61" s="829" t="s">
        <v>977</v>
      </c>
      <c r="J61" s="825" t="s">
        <v>981</v>
      </c>
      <c r="K61" s="829" t="s">
        <v>905</v>
      </c>
    </row>
    <row r="62" spans="1:11">
      <c r="A62" s="830">
        <v>35</v>
      </c>
      <c r="B62" s="812" t="s">
        <v>985</v>
      </c>
      <c r="C62" s="825" t="s">
        <v>984</v>
      </c>
      <c r="D62" s="824">
        <v>8</v>
      </c>
      <c r="E62" s="824">
        <v>8</v>
      </c>
      <c r="F62" s="822"/>
      <c r="G62" s="808">
        <v>50</v>
      </c>
      <c r="H62" s="823" t="s">
        <v>905</v>
      </c>
      <c r="I62" s="829" t="s">
        <v>977</v>
      </c>
      <c r="J62" s="825" t="s">
        <v>981</v>
      </c>
      <c r="K62" s="829" t="s">
        <v>905</v>
      </c>
    </row>
    <row r="63" spans="1:11">
      <c r="A63" s="830">
        <v>37</v>
      </c>
      <c r="B63" s="812" t="s">
        <v>986</v>
      </c>
      <c r="C63" s="807" t="s">
        <v>987</v>
      </c>
      <c r="D63" s="824">
        <v>6.1</v>
      </c>
      <c r="E63" s="824">
        <v>6.1</v>
      </c>
      <c r="F63" s="822"/>
      <c r="G63" s="808">
        <v>25</v>
      </c>
      <c r="H63" s="823" t="s">
        <v>905</v>
      </c>
      <c r="I63" s="829" t="s">
        <v>977</v>
      </c>
      <c r="J63" s="807" t="s">
        <v>905</v>
      </c>
      <c r="K63" s="829" t="s">
        <v>988</v>
      </c>
    </row>
    <row r="64" spans="1:11">
      <c r="A64" s="830" t="s">
        <v>989</v>
      </c>
      <c r="B64" s="812" t="s">
        <v>692</v>
      </c>
      <c r="C64" s="820" t="s">
        <v>934</v>
      </c>
      <c r="D64" s="824">
        <v>8</v>
      </c>
      <c r="E64" s="824">
        <v>8</v>
      </c>
      <c r="F64" s="822"/>
      <c r="G64" s="808">
        <v>240</v>
      </c>
      <c r="H64" s="823" t="s">
        <v>905</v>
      </c>
      <c r="I64" s="829" t="s">
        <v>977</v>
      </c>
      <c r="J64" s="807" t="s">
        <v>905</v>
      </c>
      <c r="K64" s="829" t="s">
        <v>990</v>
      </c>
    </row>
    <row r="65" spans="1:11">
      <c r="A65" s="830">
        <v>13</v>
      </c>
      <c r="B65" s="812" t="s">
        <v>991</v>
      </c>
      <c r="C65" s="825" t="s">
        <v>992</v>
      </c>
      <c r="D65" s="824">
        <v>3</v>
      </c>
      <c r="E65" s="824">
        <v>3</v>
      </c>
      <c r="F65" s="822"/>
      <c r="G65" s="808">
        <v>50</v>
      </c>
      <c r="H65" s="823" t="s">
        <v>905</v>
      </c>
      <c r="I65" s="829" t="s">
        <v>977</v>
      </c>
      <c r="J65" s="807" t="s">
        <v>905</v>
      </c>
      <c r="K65" s="830" t="s">
        <v>983</v>
      </c>
    </row>
    <row r="66" spans="1:11">
      <c r="A66" s="830">
        <v>12</v>
      </c>
      <c r="B66" s="812" t="s">
        <v>993</v>
      </c>
      <c r="C66" s="825" t="s">
        <v>994</v>
      </c>
      <c r="D66" s="824">
        <v>3</v>
      </c>
      <c r="E66" s="824">
        <v>3</v>
      </c>
      <c r="F66" s="822"/>
      <c r="G66" s="808">
        <v>60</v>
      </c>
      <c r="H66" s="823" t="s">
        <v>905</v>
      </c>
      <c r="I66" s="829" t="s">
        <v>977</v>
      </c>
      <c r="J66" s="807" t="s">
        <v>905</v>
      </c>
      <c r="K66" s="829" t="s">
        <v>983</v>
      </c>
    </row>
    <row r="67" spans="1:11">
      <c r="A67" s="830">
        <v>1</v>
      </c>
      <c r="B67" s="826" t="s">
        <v>995</v>
      </c>
      <c r="C67" s="820" t="s">
        <v>996</v>
      </c>
      <c r="D67" s="824">
        <v>6.1</v>
      </c>
      <c r="E67" s="824">
        <v>6.1</v>
      </c>
      <c r="F67" s="822"/>
      <c r="G67" s="808">
        <v>150</v>
      </c>
      <c r="H67" s="823" t="s">
        <v>905</v>
      </c>
      <c r="I67" s="829" t="s">
        <v>997</v>
      </c>
      <c r="J67" s="807" t="s">
        <v>998</v>
      </c>
      <c r="K67" s="830" t="s">
        <v>905</v>
      </c>
    </row>
    <row r="68" spans="1:11">
      <c r="A68" s="830">
        <v>42</v>
      </c>
      <c r="B68" s="826" t="s">
        <v>999</v>
      </c>
      <c r="C68" s="825" t="s">
        <v>1000</v>
      </c>
      <c r="D68" s="824">
        <v>3</v>
      </c>
      <c r="E68" s="824">
        <v>3</v>
      </c>
      <c r="F68" s="822"/>
      <c r="G68" s="808">
        <v>60</v>
      </c>
      <c r="H68" s="823" t="s">
        <v>905</v>
      </c>
      <c r="I68" s="829" t="s">
        <v>977</v>
      </c>
      <c r="J68" s="807" t="s">
        <v>905</v>
      </c>
      <c r="K68" s="829" t="s">
        <v>983</v>
      </c>
    </row>
    <row r="69" spans="1:11">
      <c r="A69" s="830">
        <v>29</v>
      </c>
      <c r="B69" s="826" t="s">
        <v>1001</v>
      </c>
      <c r="C69" s="825" t="s">
        <v>929</v>
      </c>
      <c r="D69" s="824">
        <v>9</v>
      </c>
      <c r="E69" s="824">
        <v>12</v>
      </c>
      <c r="F69" s="822"/>
      <c r="G69" s="808">
        <v>15</v>
      </c>
      <c r="H69" s="823" t="s">
        <v>905</v>
      </c>
      <c r="I69" s="829" t="s">
        <v>977</v>
      </c>
      <c r="J69" s="807" t="s">
        <v>905</v>
      </c>
      <c r="K69" s="829" t="s">
        <v>990</v>
      </c>
    </row>
    <row r="70" spans="1:11">
      <c r="A70" s="830">
        <v>1</v>
      </c>
      <c r="B70" s="826" t="s">
        <v>1002</v>
      </c>
      <c r="C70" s="820" t="s">
        <v>996</v>
      </c>
      <c r="D70" s="812">
        <v>6.1</v>
      </c>
      <c r="E70" s="824">
        <v>6.1</v>
      </c>
      <c r="F70" s="822"/>
      <c r="G70" s="808">
        <v>75</v>
      </c>
      <c r="H70" s="823" t="s">
        <v>905</v>
      </c>
      <c r="I70" s="829" t="s">
        <v>997</v>
      </c>
      <c r="J70" s="807" t="s">
        <v>998</v>
      </c>
      <c r="K70" s="830" t="s">
        <v>905</v>
      </c>
    </row>
    <row r="71" spans="1:11" ht="25.5">
      <c r="A71" s="830" t="s">
        <v>1003</v>
      </c>
      <c r="B71" s="826" t="s">
        <v>1004</v>
      </c>
      <c r="C71" s="820" t="s">
        <v>942</v>
      </c>
      <c r="D71" s="812">
        <v>9</v>
      </c>
      <c r="E71" s="824">
        <v>12</v>
      </c>
      <c r="F71" s="822"/>
      <c r="G71" s="808">
        <v>1200</v>
      </c>
      <c r="H71" s="823" t="s">
        <v>905</v>
      </c>
      <c r="I71" s="829" t="s">
        <v>1005</v>
      </c>
      <c r="J71" s="825" t="s">
        <v>905</v>
      </c>
      <c r="K71" s="829" t="s">
        <v>907</v>
      </c>
    </row>
    <row r="72" spans="1:11">
      <c r="A72" s="830">
        <v>9</v>
      </c>
      <c r="B72" s="826" t="s">
        <v>1006</v>
      </c>
      <c r="C72" s="825" t="s">
        <v>1007</v>
      </c>
      <c r="D72" s="812">
        <v>3</v>
      </c>
      <c r="E72" s="812">
        <v>3</v>
      </c>
      <c r="F72" s="822"/>
      <c r="G72" s="808">
        <v>250</v>
      </c>
      <c r="H72" s="823" t="s">
        <v>905</v>
      </c>
      <c r="I72" s="829" t="s">
        <v>977</v>
      </c>
      <c r="J72" s="825" t="s">
        <v>981</v>
      </c>
      <c r="K72" s="830" t="s">
        <v>1008</v>
      </c>
    </row>
    <row r="73" spans="1:11">
      <c r="A73" s="830">
        <v>13</v>
      </c>
      <c r="B73" s="826" t="s">
        <v>1009</v>
      </c>
      <c r="C73" s="825" t="s">
        <v>1010</v>
      </c>
      <c r="D73" s="812">
        <v>6.1</v>
      </c>
      <c r="E73" s="824">
        <v>11</v>
      </c>
      <c r="F73" s="822"/>
      <c r="G73" s="808">
        <v>50</v>
      </c>
      <c r="H73" s="823" t="s">
        <v>905</v>
      </c>
      <c r="I73" s="829" t="s">
        <v>977</v>
      </c>
      <c r="J73" s="825" t="s">
        <v>1011</v>
      </c>
      <c r="K73" s="830" t="s">
        <v>1012</v>
      </c>
    </row>
    <row r="74" spans="1:11">
      <c r="A74" s="830" t="s">
        <v>1013</v>
      </c>
      <c r="B74" s="826" t="s">
        <v>1014</v>
      </c>
      <c r="C74" s="807" t="s">
        <v>1015</v>
      </c>
      <c r="D74" s="812">
        <v>2.1</v>
      </c>
      <c r="E74" s="824">
        <v>2.1</v>
      </c>
      <c r="F74" s="822"/>
      <c r="G74" s="808">
        <v>350</v>
      </c>
      <c r="H74" s="823" t="s">
        <v>905</v>
      </c>
      <c r="I74" s="829" t="s">
        <v>997</v>
      </c>
      <c r="J74" s="825" t="s">
        <v>1016</v>
      </c>
      <c r="K74" s="830" t="s">
        <v>907</v>
      </c>
    </row>
    <row r="75" spans="1:11">
      <c r="A75" s="832"/>
      <c r="B75" s="823"/>
      <c r="C75" s="823"/>
      <c r="D75" s="823"/>
      <c r="E75" s="833"/>
      <c r="F75" s="823" t="s">
        <v>962</v>
      </c>
      <c r="G75" s="808">
        <f>SUM(G57:G74)</f>
        <v>2755.3</v>
      </c>
      <c r="H75" s="823"/>
      <c r="I75" s="823"/>
      <c r="J75" s="823"/>
      <c r="K75" s="832"/>
    </row>
    <row r="76" spans="1:11">
      <c r="A76" s="1080" t="s">
        <v>963</v>
      </c>
      <c r="B76" s="1081"/>
      <c r="C76" s="1081"/>
      <c r="D76" s="1081"/>
      <c r="E76" s="1081"/>
      <c r="F76" s="1081"/>
      <c r="G76" s="1081"/>
      <c r="H76" s="1081"/>
      <c r="I76" s="1081"/>
      <c r="J76" s="1081"/>
      <c r="K76" s="1081"/>
    </row>
    <row r="77" spans="1:11">
      <c r="A77" s="1081"/>
      <c r="B77" s="1081"/>
      <c r="C77" s="1081"/>
      <c r="D77" s="1081"/>
      <c r="E77" s="1081"/>
      <c r="F77" s="1081"/>
      <c r="G77" s="1081"/>
      <c r="H77" s="1081"/>
      <c r="I77" s="1081"/>
      <c r="J77" s="1081"/>
      <c r="K77" s="1081"/>
    </row>
    <row r="78" spans="1:11">
      <c r="A78" s="1081"/>
      <c r="B78" s="1081"/>
      <c r="C78" s="1081"/>
      <c r="D78" s="1081"/>
      <c r="E78" s="1081"/>
      <c r="F78" s="1081"/>
      <c r="G78" s="1081"/>
      <c r="H78" s="1081"/>
      <c r="I78" s="1081"/>
      <c r="J78" s="1081"/>
      <c r="K78" s="1081"/>
    </row>
    <row r="79" spans="1:11">
      <c r="A79" s="1081"/>
      <c r="B79" s="1081"/>
      <c r="C79" s="1081"/>
      <c r="D79" s="1081"/>
      <c r="E79" s="1081"/>
      <c r="F79" s="1081"/>
      <c r="G79" s="1081"/>
      <c r="H79" s="1081"/>
      <c r="I79" s="1081"/>
      <c r="J79" s="1081"/>
      <c r="K79" s="1081"/>
    </row>
  </sheetData>
  <mergeCells count="26">
    <mergeCell ref="A76:K79"/>
    <mergeCell ref="A55:B55"/>
    <mergeCell ref="C55:C56"/>
    <mergeCell ref="D55:D56"/>
    <mergeCell ref="E55:E56"/>
    <mergeCell ref="F55:F56"/>
    <mergeCell ref="G55:G56"/>
    <mergeCell ref="A42:K45"/>
    <mergeCell ref="A54:C54"/>
    <mergeCell ref="D54:F54"/>
    <mergeCell ref="G54:K54"/>
    <mergeCell ref="H55:H56"/>
    <mergeCell ref="I55:I56"/>
    <mergeCell ref="J55:J56"/>
    <mergeCell ref="K55:K56"/>
    <mergeCell ref="A12:C12"/>
    <mergeCell ref="D12:F12"/>
    <mergeCell ref="G12:K12"/>
    <mergeCell ref="A13:B13"/>
    <mergeCell ref="C13:C14"/>
    <mergeCell ref="F13:F14"/>
    <mergeCell ref="G13:G14"/>
    <mergeCell ref="H13:H14"/>
    <mergeCell ref="I13:I14"/>
    <mergeCell ref="J13:J14"/>
    <mergeCell ref="K13:K14"/>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sheetPr>
    <tabColor rgb="FF00B050"/>
  </sheetPr>
  <dimension ref="A1:X94"/>
  <sheetViews>
    <sheetView zoomScale="80" zoomScaleNormal="80" workbookViewId="0">
      <pane ySplit="7" topLeftCell="A8" activePane="bottomLeft" state="frozen"/>
      <selection pane="bottomLeft" activeCell="A8" sqref="A8:A10"/>
    </sheetView>
  </sheetViews>
  <sheetFormatPr defaultColWidth="9.140625" defaultRowHeight="12.75"/>
  <cols>
    <col min="1" max="1" width="5.7109375" style="69" customWidth="1"/>
    <col min="2" max="2" width="97.5703125" style="69" customWidth="1"/>
    <col min="3" max="3" width="11.28515625" style="69" customWidth="1"/>
    <col min="4" max="4" width="10.7109375" style="107" customWidth="1"/>
    <col min="5" max="5" width="10.85546875" style="107" customWidth="1"/>
    <col min="6" max="6" width="9" style="107" customWidth="1"/>
    <col min="7" max="7" width="7.7109375" style="111" customWidth="1"/>
    <col min="8" max="8" width="20.5703125" style="112" customWidth="1"/>
    <col min="9" max="9" width="9.140625" style="69"/>
    <col min="10" max="10" width="91.5703125" style="69" customWidth="1"/>
    <col min="11" max="11" width="11.42578125" style="69" customWidth="1"/>
    <col min="12" max="12" width="11" style="69" customWidth="1"/>
    <col min="13" max="13" width="9" style="107" customWidth="1"/>
    <col min="14" max="14" width="9.7109375" style="69" bestFit="1" customWidth="1"/>
    <col min="15" max="15" width="69.140625" style="69" customWidth="1"/>
    <col min="16" max="17" width="13.140625" style="69" bestFit="1" customWidth="1"/>
    <col min="18" max="16384" width="9.140625" style="69"/>
  </cols>
  <sheetData>
    <row r="1" spans="1:24" s="42" customFormat="1" ht="21">
      <c r="A1" s="41" t="s">
        <v>790</v>
      </c>
      <c r="E1" s="43"/>
      <c r="F1" s="43"/>
      <c r="G1" s="43"/>
      <c r="H1" s="43"/>
      <c r="I1" s="43"/>
      <c r="J1" s="44"/>
      <c r="K1" s="45"/>
      <c r="L1" s="45"/>
      <c r="M1" s="45"/>
      <c r="N1" s="44"/>
      <c r="O1" s="45"/>
      <c r="V1" s="43"/>
      <c r="W1" s="46"/>
      <c r="X1" s="46"/>
    </row>
    <row r="2" spans="1:24" s="48" customFormat="1" ht="15">
      <c r="A2" s="47" t="s">
        <v>412</v>
      </c>
      <c r="E2" s="49" t="s">
        <v>400</v>
      </c>
      <c r="F2" s="50"/>
      <c r="G2" s="51" t="s">
        <v>444</v>
      </c>
      <c r="H2" s="52"/>
      <c r="I2" s="53"/>
      <c r="J2" s="54"/>
      <c r="K2" s="55"/>
      <c r="M2" s="53"/>
      <c r="N2" s="54"/>
      <c r="P2" s="56"/>
      <c r="Q2" s="56"/>
      <c r="R2" s="56"/>
      <c r="V2" s="53"/>
    </row>
    <row r="3" spans="1:24" s="58" customFormat="1" ht="15">
      <c r="A3" s="47"/>
      <c r="B3" s="57"/>
      <c r="F3" s="59"/>
      <c r="G3" s="51" t="s">
        <v>445</v>
      </c>
      <c r="H3" s="52"/>
      <c r="I3" s="53"/>
      <c r="J3" s="60"/>
      <c r="M3" s="53"/>
      <c r="N3" s="60"/>
      <c r="V3" s="53"/>
    </row>
    <row r="4" spans="1:24" s="58" customFormat="1" ht="15">
      <c r="B4" s="61" t="s">
        <v>866</v>
      </c>
      <c r="F4" s="62"/>
      <c r="G4" s="51" t="s">
        <v>851</v>
      </c>
      <c r="H4" s="52"/>
      <c r="I4" s="53"/>
      <c r="J4" s="60"/>
      <c r="M4" s="53"/>
      <c r="N4" s="60"/>
      <c r="P4" s="63"/>
      <c r="Q4" s="63"/>
      <c r="R4" s="63"/>
      <c r="V4" s="53"/>
    </row>
    <row r="5" spans="1:24" s="58" customFormat="1" ht="15" customHeight="1">
      <c r="G5" s="64"/>
      <c r="H5" s="52"/>
      <c r="I5" s="53"/>
      <c r="J5" s="60"/>
      <c r="M5" s="53"/>
      <c r="N5" s="60"/>
      <c r="P5" s="63"/>
      <c r="Q5" s="63"/>
      <c r="R5" s="63"/>
      <c r="V5" s="53"/>
    </row>
    <row r="6" spans="1:24" ht="18.75" customHeight="1">
      <c r="A6" s="65" t="s">
        <v>413</v>
      </c>
      <c r="B6" s="66"/>
      <c r="C6" s="67"/>
      <c r="D6" s="885"/>
      <c r="E6" s="886"/>
      <c r="F6" s="68"/>
      <c r="G6" s="887" t="s">
        <v>402</v>
      </c>
      <c r="H6" s="888"/>
      <c r="I6" s="888"/>
      <c r="J6" s="882"/>
      <c r="K6" s="889" t="s">
        <v>401</v>
      </c>
      <c r="L6" s="890"/>
      <c r="M6" s="68"/>
      <c r="N6" s="881" t="s">
        <v>403</v>
      </c>
      <c r="O6" s="882"/>
      <c r="P6" s="883" t="s">
        <v>401</v>
      </c>
      <c r="Q6" s="884"/>
    </row>
    <row r="7" spans="1:24" ht="25.5">
      <c r="A7" s="70" t="s">
        <v>0</v>
      </c>
      <c r="B7" s="71" t="s">
        <v>1</v>
      </c>
      <c r="C7" s="72" t="s">
        <v>2</v>
      </c>
      <c r="D7" s="73" t="s">
        <v>668</v>
      </c>
      <c r="E7" s="73" t="s">
        <v>669</v>
      </c>
      <c r="F7" s="74"/>
      <c r="G7" s="75" t="s">
        <v>781</v>
      </c>
      <c r="H7" s="76" t="s">
        <v>409</v>
      </c>
      <c r="I7" s="77" t="s">
        <v>782</v>
      </c>
      <c r="J7" s="76" t="s">
        <v>404</v>
      </c>
      <c r="K7" s="78" t="s">
        <v>668</v>
      </c>
      <c r="L7" s="78" t="s">
        <v>669</v>
      </c>
      <c r="M7" s="74"/>
      <c r="N7" s="79" t="s">
        <v>0</v>
      </c>
      <c r="O7" s="80" t="s">
        <v>406</v>
      </c>
      <c r="P7" s="81" t="s">
        <v>668</v>
      </c>
      <c r="Q7" s="81" t="s">
        <v>669</v>
      </c>
    </row>
    <row r="8" spans="1:24">
      <c r="A8" s="891" t="s">
        <v>3</v>
      </c>
      <c r="B8" s="82" t="s">
        <v>79</v>
      </c>
      <c r="C8" s="83" t="s">
        <v>4</v>
      </c>
      <c r="D8" s="36">
        <v>0</v>
      </c>
      <c r="E8" s="36">
        <v>0</v>
      </c>
      <c r="F8" s="84"/>
      <c r="G8" s="872" t="s">
        <v>3</v>
      </c>
      <c r="H8" s="875" t="s">
        <v>137</v>
      </c>
      <c r="I8" s="83" t="s">
        <v>4</v>
      </c>
      <c r="J8" s="82" t="s">
        <v>79</v>
      </c>
      <c r="K8" s="85">
        <f>IF(ISNUMBER(D8),D8,"")</f>
        <v>0</v>
      </c>
      <c r="L8" s="85">
        <f>IF(ISNUMBER(E8),E8,"")</f>
        <v>0</v>
      </c>
      <c r="M8" s="84"/>
      <c r="N8" s="86" t="s">
        <v>324</v>
      </c>
      <c r="O8" s="87" t="s">
        <v>325</v>
      </c>
      <c r="P8" s="88">
        <f>K73</f>
        <v>150.13999999999999</v>
      </c>
      <c r="Q8" s="88">
        <f>L73</f>
        <v>142.72</v>
      </c>
    </row>
    <row r="9" spans="1:24">
      <c r="A9" s="892"/>
      <c r="B9" s="82" t="s">
        <v>139</v>
      </c>
      <c r="C9" s="83" t="s">
        <v>138</v>
      </c>
      <c r="D9" s="36">
        <v>0</v>
      </c>
      <c r="E9" s="36">
        <v>0</v>
      </c>
      <c r="F9" s="84"/>
      <c r="G9" s="873"/>
      <c r="H9" s="876"/>
      <c r="I9" s="83" t="s">
        <v>138</v>
      </c>
      <c r="J9" s="82" t="s">
        <v>139</v>
      </c>
      <c r="K9" s="85">
        <f t="shared" ref="K9:K53" si="0">IF(ISNUMBER(D9),D9,"")</f>
        <v>0</v>
      </c>
      <c r="L9" s="85">
        <f t="shared" ref="L9:L53" si="1">IF(ISNUMBER(E9),E9,"")</f>
        <v>0</v>
      </c>
      <c r="M9" s="84"/>
      <c r="N9" s="86" t="s">
        <v>326</v>
      </c>
      <c r="O9" s="87" t="s">
        <v>327</v>
      </c>
      <c r="P9" s="88">
        <f>K75</f>
        <v>0</v>
      </c>
      <c r="Q9" s="88">
        <f>L75</f>
        <v>0</v>
      </c>
    </row>
    <row r="10" spans="1:24">
      <c r="A10" s="893"/>
      <c r="B10" s="82" t="s">
        <v>80</v>
      </c>
      <c r="C10" s="83" t="s">
        <v>81</v>
      </c>
      <c r="D10" s="36">
        <v>8.5000000000000006E-3</v>
      </c>
      <c r="E10" s="36">
        <v>0</v>
      </c>
      <c r="F10" s="84"/>
      <c r="G10" s="874"/>
      <c r="H10" s="877"/>
      <c r="I10" s="83" t="s">
        <v>81</v>
      </c>
      <c r="J10" s="82" t="s">
        <v>80</v>
      </c>
      <c r="K10" s="85">
        <f t="shared" si="0"/>
        <v>8.5000000000000006E-3</v>
      </c>
      <c r="L10" s="85">
        <f t="shared" si="1"/>
        <v>0</v>
      </c>
      <c r="M10" s="84"/>
      <c r="N10" s="86" t="s">
        <v>328</v>
      </c>
      <c r="O10" s="87" t="s">
        <v>130</v>
      </c>
      <c r="P10" s="88">
        <f>K74</f>
        <v>330</v>
      </c>
      <c r="Q10" s="88">
        <f>L74</f>
        <v>156</v>
      </c>
    </row>
    <row r="11" spans="1:24">
      <c r="A11" s="89" t="s">
        <v>5</v>
      </c>
      <c r="B11" s="82" t="s">
        <v>82</v>
      </c>
      <c r="C11" s="83" t="s">
        <v>7</v>
      </c>
      <c r="D11" s="36">
        <v>0</v>
      </c>
      <c r="E11" s="36">
        <v>0</v>
      </c>
      <c r="F11" s="84"/>
      <c r="G11" s="90" t="s">
        <v>5</v>
      </c>
      <c r="H11" s="91" t="s">
        <v>6</v>
      </c>
      <c r="I11" s="83" t="s">
        <v>7</v>
      </c>
      <c r="J11" s="82" t="s">
        <v>82</v>
      </c>
      <c r="K11" s="85">
        <f t="shared" si="0"/>
        <v>0</v>
      </c>
      <c r="L11" s="85">
        <f t="shared" si="1"/>
        <v>0</v>
      </c>
      <c r="M11" s="84"/>
      <c r="N11" s="86" t="s">
        <v>329</v>
      </c>
      <c r="O11" s="87" t="s">
        <v>330</v>
      </c>
      <c r="P11" s="88">
        <f>K44</f>
        <v>0</v>
      </c>
      <c r="Q11" s="88">
        <f>L44</f>
        <v>0</v>
      </c>
    </row>
    <row r="12" spans="1:24">
      <c r="A12" s="92" t="s">
        <v>8</v>
      </c>
      <c r="B12" s="82" t="s">
        <v>83</v>
      </c>
      <c r="C12" s="83" t="s">
        <v>9</v>
      </c>
      <c r="D12" s="36">
        <v>449.6</v>
      </c>
      <c r="E12" s="36">
        <v>230.9</v>
      </c>
      <c r="F12" s="84"/>
      <c r="G12" s="90" t="s">
        <v>8</v>
      </c>
      <c r="H12" s="91" t="s">
        <v>140</v>
      </c>
      <c r="I12" s="83" t="s">
        <v>9</v>
      </c>
      <c r="J12" s="82" t="s">
        <v>83</v>
      </c>
      <c r="K12" s="85">
        <f t="shared" si="0"/>
        <v>449.6</v>
      </c>
      <c r="L12" s="85">
        <f t="shared" si="1"/>
        <v>230.9</v>
      </c>
      <c r="M12" s="84"/>
      <c r="N12" s="86" t="s">
        <v>331</v>
      </c>
      <c r="O12" s="87" t="s">
        <v>332</v>
      </c>
      <c r="P12" s="88">
        <f>K46</f>
        <v>0</v>
      </c>
      <c r="Q12" s="88">
        <f>L46</f>
        <v>0</v>
      </c>
    </row>
    <row r="13" spans="1:24">
      <c r="A13" s="891" t="s">
        <v>10</v>
      </c>
      <c r="B13" s="82" t="s">
        <v>84</v>
      </c>
      <c r="C13" s="83" t="s">
        <v>12</v>
      </c>
      <c r="D13" s="36">
        <v>0</v>
      </c>
      <c r="E13" s="36">
        <v>0</v>
      </c>
      <c r="F13" s="84"/>
      <c r="G13" s="872" t="s">
        <v>10</v>
      </c>
      <c r="H13" s="878" t="s">
        <v>11</v>
      </c>
      <c r="I13" s="83" t="s">
        <v>12</v>
      </c>
      <c r="J13" s="82" t="s">
        <v>84</v>
      </c>
      <c r="K13" s="85">
        <f t="shared" si="0"/>
        <v>0</v>
      </c>
      <c r="L13" s="85">
        <f t="shared" si="1"/>
        <v>0</v>
      </c>
      <c r="M13" s="84"/>
      <c r="N13" s="86" t="s">
        <v>333</v>
      </c>
      <c r="O13" s="87" t="s">
        <v>334</v>
      </c>
      <c r="P13" s="88">
        <f>K43</f>
        <v>0</v>
      </c>
      <c r="Q13" s="88">
        <f>L43</f>
        <v>0</v>
      </c>
    </row>
    <row r="14" spans="1:24">
      <c r="A14" s="892"/>
      <c r="B14" s="82" t="s">
        <v>85</v>
      </c>
      <c r="C14" s="83" t="s">
        <v>13</v>
      </c>
      <c r="D14" s="36">
        <v>0</v>
      </c>
      <c r="E14" s="36">
        <v>0</v>
      </c>
      <c r="F14" s="84"/>
      <c r="G14" s="873"/>
      <c r="H14" s="879"/>
      <c r="I14" s="83" t="s">
        <v>13</v>
      </c>
      <c r="J14" s="82" t="s">
        <v>85</v>
      </c>
      <c r="K14" s="85">
        <f t="shared" si="0"/>
        <v>0</v>
      </c>
      <c r="L14" s="85">
        <f t="shared" si="1"/>
        <v>0</v>
      </c>
      <c r="M14" s="84"/>
      <c r="N14" s="86" t="s">
        <v>335</v>
      </c>
      <c r="O14" s="87" t="s">
        <v>336</v>
      </c>
      <c r="P14" s="88">
        <f>K9</f>
        <v>0</v>
      </c>
      <c r="Q14" s="88">
        <f>L9</f>
        <v>0</v>
      </c>
    </row>
    <row r="15" spans="1:24">
      <c r="A15" s="892"/>
      <c r="B15" s="82" t="s">
        <v>86</v>
      </c>
      <c r="C15" s="83" t="s">
        <v>14</v>
      </c>
      <c r="D15" s="36">
        <v>6.97</v>
      </c>
      <c r="E15" s="36">
        <v>7.81</v>
      </c>
      <c r="F15" s="84"/>
      <c r="G15" s="873"/>
      <c r="H15" s="879"/>
      <c r="I15" s="83" t="s">
        <v>14</v>
      </c>
      <c r="J15" s="82" t="s">
        <v>86</v>
      </c>
      <c r="K15" s="85">
        <f t="shared" si="0"/>
        <v>6.97</v>
      </c>
      <c r="L15" s="85">
        <f t="shared" si="1"/>
        <v>7.81</v>
      </c>
      <c r="M15" s="84"/>
      <c r="N15" s="86" t="s">
        <v>337</v>
      </c>
      <c r="O15" s="87" t="s">
        <v>322</v>
      </c>
      <c r="P15" s="88">
        <f t="shared" ref="P15:Q16" si="2">K47</f>
        <v>723.21</v>
      </c>
      <c r="Q15" s="88">
        <f t="shared" si="2"/>
        <v>691.19</v>
      </c>
    </row>
    <row r="16" spans="1:24">
      <c r="A16" s="892"/>
      <c r="B16" s="82" t="s">
        <v>87</v>
      </c>
      <c r="C16" s="83" t="s">
        <v>15</v>
      </c>
      <c r="D16" s="36">
        <v>0</v>
      </c>
      <c r="E16" s="36">
        <v>0</v>
      </c>
      <c r="F16" s="84"/>
      <c r="G16" s="873"/>
      <c r="H16" s="879"/>
      <c r="I16" s="83" t="s">
        <v>15</v>
      </c>
      <c r="J16" s="82" t="s">
        <v>87</v>
      </c>
      <c r="K16" s="85">
        <f t="shared" si="0"/>
        <v>0</v>
      </c>
      <c r="L16" s="85">
        <f t="shared" si="1"/>
        <v>0</v>
      </c>
      <c r="M16" s="84"/>
      <c r="N16" s="86" t="s">
        <v>338</v>
      </c>
      <c r="O16" s="87" t="s">
        <v>339</v>
      </c>
      <c r="P16" s="88">
        <f t="shared" si="2"/>
        <v>556</v>
      </c>
      <c r="Q16" s="88">
        <f t="shared" si="2"/>
        <v>305</v>
      </c>
    </row>
    <row r="17" spans="1:17">
      <c r="A17" s="892"/>
      <c r="B17" s="82" t="s">
        <v>88</v>
      </c>
      <c r="C17" s="83" t="s">
        <v>16</v>
      </c>
      <c r="D17" s="36">
        <v>0</v>
      </c>
      <c r="E17" s="36">
        <v>0</v>
      </c>
      <c r="F17" s="84"/>
      <c r="G17" s="873"/>
      <c r="H17" s="879"/>
      <c r="I17" s="83" t="s">
        <v>16</v>
      </c>
      <c r="J17" s="82" t="s">
        <v>88</v>
      </c>
      <c r="K17" s="85">
        <f t="shared" si="0"/>
        <v>0</v>
      </c>
      <c r="L17" s="85">
        <f t="shared" si="1"/>
        <v>0</v>
      </c>
      <c r="M17" s="84"/>
      <c r="N17" s="86" t="s">
        <v>340</v>
      </c>
      <c r="O17" s="87" t="s">
        <v>341</v>
      </c>
      <c r="P17" s="88">
        <f>K54</f>
        <v>6.26</v>
      </c>
      <c r="Q17" s="88">
        <f>L54</f>
        <v>19.062999999999999</v>
      </c>
    </row>
    <row r="18" spans="1:17">
      <c r="A18" s="892"/>
      <c r="B18" s="82" t="s">
        <v>89</v>
      </c>
      <c r="C18" s="83" t="s">
        <v>17</v>
      </c>
      <c r="D18" s="36">
        <v>0</v>
      </c>
      <c r="E18" s="36">
        <v>0</v>
      </c>
      <c r="F18" s="84"/>
      <c r="G18" s="873"/>
      <c r="H18" s="879"/>
      <c r="I18" s="83" t="s">
        <v>17</v>
      </c>
      <c r="J18" s="82" t="s">
        <v>89</v>
      </c>
      <c r="K18" s="85">
        <f t="shared" si="0"/>
        <v>0</v>
      </c>
      <c r="L18" s="85">
        <f t="shared" si="1"/>
        <v>0</v>
      </c>
      <c r="M18" s="84"/>
      <c r="N18" s="86" t="s">
        <v>342</v>
      </c>
      <c r="O18" s="87" t="s">
        <v>343</v>
      </c>
      <c r="P18" s="88">
        <f>K49</f>
        <v>0</v>
      </c>
      <c r="Q18" s="88">
        <f>L49</f>
        <v>0</v>
      </c>
    </row>
    <row r="19" spans="1:17">
      <c r="A19" s="892"/>
      <c r="B19" s="82" t="s">
        <v>90</v>
      </c>
      <c r="C19" s="83" t="s">
        <v>18</v>
      </c>
      <c r="D19" s="36">
        <v>0</v>
      </c>
      <c r="E19" s="36">
        <v>0</v>
      </c>
      <c r="F19" s="84"/>
      <c r="G19" s="873"/>
      <c r="H19" s="879"/>
      <c r="I19" s="83" t="s">
        <v>18</v>
      </c>
      <c r="J19" s="82" t="s">
        <v>90</v>
      </c>
      <c r="K19" s="85">
        <f t="shared" si="0"/>
        <v>0</v>
      </c>
      <c r="L19" s="85">
        <f t="shared" si="1"/>
        <v>0</v>
      </c>
      <c r="M19" s="84"/>
      <c r="N19" s="86" t="s">
        <v>344</v>
      </c>
      <c r="O19" s="87" t="s">
        <v>345</v>
      </c>
      <c r="P19" s="88">
        <f t="shared" ref="P19:Q20" si="3">K38</f>
        <v>89.58</v>
      </c>
      <c r="Q19" s="88">
        <f t="shared" si="3"/>
        <v>199.63</v>
      </c>
    </row>
    <row r="20" spans="1:17">
      <c r="A20" s="892"/>
      <c r="B20" s="82" t="s">
        <v>141</v>
      </c>
      <c r="C20" s="83" t="s">
        <v>19</v>
      </c>
      <c r="D20" s="36">
        <v>0</v>
      </c>
      <c r="E20" s="36">
        <v>0</v>
      </c>
      <c r="F20" s="84"/>
      <c r="G20" s="873"/>
      <c r="H20" s="879"/>
      <c r="I20" s="83" t="s">
        <v>19</v>
      </c>
      <c r="J20" s="82" t="s">
        <v>141</v>
      </c>
      <c r="K20" s="85">
        <f t="shared" si="0"/>
        <v>0</v>
      </c>
      <c r="L20" s="85">
        <f t="shared" si="1"/>
        <v>0</v>
      </c>
      <c r="M20" s="84"/>
      <c r="N20" s="86" t="s">
        <v>346</v>
      </c>
      <c r="O20" s="87" t="s">
        <v>347</v>
      </c>
      <c r="P20" s="88">
        <f t="shared" si="3"/>
        <v>0</v>
      </c>
      <c r="Q20" s="88">
        <f t="shared" si="3"/>
        <v>6.9210000000000003</v>
      </c>
    </row>
    <row r="21" spans="1:17">
      <c r="A21" s="892"/>
      <c r="B21" s="82" t="s">
        <v>143</v>
      </c>
      <c r="C21" s="83" t="s">
        <v>142</v>
      </c>
      <c r="D21" s="36">
        <v>0</v>
      </c>
      <c r="E21" s="36">
        <v>0</v>
      </c>
      <c r="F21" s="84"/>
      <c r="G21" s="873"/>
      <c r="H21" s="879"/>
      <c r="I21" s="83" t="s">
        <v>142</v>
      </c>
      <c r="J21" s="82" t="s">
        <v>143</v>
      </c>
      <c r="K21" s="85">
        <f t="shared" si="0"/>
        <v>0</v>
      </c>
      <c r="L21" s="85">
        <f t="shared" si="1"/>
        <v>0</v>
      </c>
      <c r="M21" s="84"/>
      <c r="N21" s="86" t="s">
        <v>348</v>
      </c>
      <c r="O21" s="87" t="s">
        <v>349</v>
      </c>
      <c r="P21" s="88">
        <f>K76</f>
        <v>24.14</v>
      </c>
      <c r="Q21" s="88">
        <f>L76</f>
        <v>28.939</v>
      </c>
    </row>
    <row r="22" spans="1:17">
      <c r="A22" s="892"/>
      <c r="B22" s="82" t="s">
        <v>91</v>
      </c>
      <c r="C22" s="83" t="s">
        <v>20</v>
      </c>
      <c r="D22" s="36">
        <v>0</v>
      </c>
      <c r="E22" s="36">
        <v>0</v>
      </c>
      <c r="F22" s="84"/>
      <c r="G22" s="873"/>
      <c r="H22" s="879"/>
      <c r="I22" s="83" t="s">
        <v>20</v>
      </c>
      <c r="J22" s="82" t="s">
        <v>91</v>
      </c>
      <c r="K22" s="85">
        <f t="shared" si="0"/>
        <v>0</v>
      </c>
      <c r="L22" s="85">
        <f t="shared" si="1"/>
        <v>0</v>
      </c>
      <c r="M22" s="84"/>
      <c r="N22" s="86" t="s">
        <v>350</v>
      </c>
      <c r="O22" s="87" t="s">
        <v>351</v>
      </c>
      <c r="P22" s="29">
        <f>IF(AND(K34="",K35="",K37="",K79=""),"",SUM(K34:K35,K37,K79))</f>
        <v>0.193</v>
      </c>
      <c r="Q22" s="29">
        <f>IF(AND(L34="",L35="",L37="",L79=""),"",SUM(L34:L35,L37,L79))</f>
        <v>0</v>
      </c>
    </row>
    <row r="23" spans="1:17">
      <c r="A23" s="892"/>
      <c r="B23" s="82" t="s">
        <v>144</v>
      </c>
      <c r="C23" s="83" t="s">
        <v>21</v>
      </c>
      <c r="D23" s="36">
        <v>0</v>
      </c>
      <c r="E23" s="36">
        <v>0</v>
      </c>
      <c r="F23" s="84"/>
      <c r="G23" s="873"/>
      <c r="H23" s="879"/>
      <c r="I23" s="83" t="s">
        <v>21</v>
      </c>
      <c r="J23" s="82" t="s">
        <v>144</v>
      </c>
      <c r="K23" s="85">
        <f t="shared" si="0"/>
        <v>0</v>
      </c>
      <c r="L23" s="85">
        <f t="shared" si="1"/>
        <v>0</v>
      </c>
      <c r="M23" s="84"/>
      <c r="N23" s="86" t="s">
        <v>352</v>
      </c>
      <c r="O23" s="87" t="s">
        <v>353</v>
      </c>
      <c r="P23" s="29">
        <f t="shared" ref="P23:Q23" si="4">K77</f>
        <v>13</v>
      </c>
      <c r="Q23" s="29">
        <f t="shared" si="4"/>
        <v>7.44</v>
      </c>
    </row>
    <row r="24" spans="1:17">
      <c r="A24" s="892"/>
      <c r="B24" s="82" t="s">
        <v>92</v>
      </c>
      <c r="C24" s="83" t="s">
        <v>22</v>
      </c>
      <c r="D24" s="36">
        <v>0</v>
      </c>
      <c r="E24" s="36">
        <v>0</v>
      </c>
      <c r="F24" s="84"/>
      <c r="G24" s="873"/>
      <c r="H24" s="879"/>
      <c r="I24" s="83" t="s">
        <v>22</v>
      </c>
      <c r="J24" s="82" t="s">
        <v>92</v>
      </c>
      <c r="K24" s="85">
        <f t="shared" si="0"/>
        <v>0</v>
      </c>
      <c r="L24" s="85">
        <f t="shared" si="1"/>
        <v>0</v>
      </c>
      <c r="M24" s="84"/>
      <c r="N24" s="86" t="s">
        <v>354</v>
      </c>
      <c r="O24" s="87" t="s">
        <v>355</v>
      </c>
      <c r="P24" s="29">
        <f t="shared" ref="P24:Q24" si="5">K8</f>
        <v>0</v>
      </c>
      <c r="Q24" s="29">
        <f t="shared" si="5"/>
        <v>0</v>
      </c>
    </row>
    <row r="25" spans="1:17">
      <c r="A25" s="892"/>
      <c r="B25" s="82" t="s">
        <v>93</v>
      </c>
      <c r="C25" s="83" t="s">
        <v>23</v>
      </c>
      <c r="D25" s="36">
        <v>94.81</v>
      </c>
      <c r="E25" s="36">
        <v>672.3</v>
      </c>
      <c r="F25" s="84"/>
      <c r="G25" s="873"/>
      <c r="H25" s="879"/>
      <c r="I25" s="83" t="s">
        <v>23</v>
      </c>
      <c r="J25" s="82" t="s">
        <v>93</v>
      </c>
      <c r="K25" s="85">
        <f t="shared" si="0"/>
        <v>94.81</v>
      </c>
      <c r="L25" s="85">
        <f t="shared" si="1"/>
        <v>672.3</v>
      </c>
      <c r="M25" s="84"/>
      <c r="N25" s="86" t="s">
        <v>356</v>
      </c>
      <c r="O25" s="87" t="s">
        <v>357</v>
      </c>
      <c r="P25" s="29">
        <f>IF(AND(K67="",K68="",K70="",K72=""),"",SUM(K67:K68,K70,K72))</f>
        <v>0</v>
      </c>
      <c r="Q25" s="29">
        <f>IF(AND(L67="",L68="",L70="",L72=""),"",SUM(L67:L68,L70,L72))</f>
        <v>0</v>
      </c>
    </row>
    <row r="26" spans="1:17" ht="15" customHeight="1">
      <c r="A26" s="892"/>
      <c r="B26" s="82" t="s">
        <v>94</v>
      </c>
      <c r="C26" s="83" t="s">
        <v>24</v>
      </c>
      <c r="D26" s="36">
        <v>0</v>
      </c>
      <c r="E26" s="36">
        <v>0</v>
      </c>
      <c r="F26" s="84"/>
      <c r="G26" s="873"/>
      <c r="H26" s="879"/>
      <c r="I26" s="83" t="s">
        <v>24</v>
      </c>
      <c r="J26" s="82" t="s">
        <v>94</v>
      </c>
      <c r="K26" s="85">
        <f t="shared" si="0"/>
        <v>0</v>
      </c>
      <c r="L26" s="85">
        <f t="shared" si="1"/>
        <v>0</v>
      </c>
      <c r="M26" s="84"/>
      <c r="N26" s="93"/>
      <c r="O26" s="94" t="s">
        <v>407</v>
      </c>
      <c r="P26" s="95"/>
      <c r="Q26" s="96"/>
    </row>
    <row r="27" spans="1:17">
      <c r="A27" s="892"/>
      <c r="B27" s="82" t="s">
        <v>145</v>
      </c>
      <c r="C27" s="83" t="s">
        <v>25</v>
      </c>
      <c r="D27" s="36">
        <v>0</v>
      </c>
      <c r="E27" s="36">
        <v>0</v>
      </c>
      <c r="F27" s="84"/>
      <c r="G27" s="873"/>
      <c r="H27" s="879"/>
      <c r="I27" s="83" t="s">
        <v>25</v>
      </c>
      <c r="J27" s="82" t="s">
        <v>145</v>
      </c>
      <c r="K27" s="85">
        <f t="shared" si="0"/>
        <v>0</v>
      </c>
      <c r="L27" s="85">
        <f t="shared" si="1"/>
        <v>0</v>
      </c>
      <c r="M27" s="84"/>
      <c r="N27" s="86" t="s">
        <v>358</v>
      </c>
      <c r="O27" s="87" t="s">
        <v>84</v>
      </c>
      <c r="P27" s="88">
        <f>K13</f>
        <v>0</v>
      </c>
      <c r="Q27" s="88">
        <f>L13</f>
        <v>0</v>
      </c>
    </row>
    <row r="28" spans="1:17">
      <c r="A28" s="892"/>
      <c r="B28" s="82" t="s">
        <v>147</v>
      </c>
      <c r="C28" s="83" t="s">
        <v>146</v>
      </c>
      <c r="D28" s="36">
        <v>0</v>
      </c>
      <c r="E28" s="36">
        <v>0</v>
      </c>
      <c r="F28" s="84"/>
      <c r="G28" s="873"/>
      <c r="H28" s="879"/>
      <c r="I28" s="83" t="s">
        <v>146</v>
      </c>
      <c r="J28" s="82" t="s">
        <v>147</v>
      </c>
      <c r="K28" s="85">
        <f t="shared" si="0"/>
        <v>0</v>
      </c>
      <c r="L28" s="85">
        <f t="shared" si="1"/>
        <v>0</v>
      </c>
      <c r="M28" s="84"/>
      <c r="N28" s="86" t="s">
        <v>359</v>
      </c>
      <c r="O28" s="87" t="s">
        <v>90</v>
      </c>
      <c r="P28" s="88">
        <f>K19</f>
        <v>0</v>
      </c>
      <c r="Q28" s="88">
        <f>L19</f>
        <v>0</v>
      </c>
    </row>
    <row r="29" spans="1:17">
      <c r="A29" s="892"/>
      <c r="B29" s="82" t="s">
        <v>149</v>
      </c>
      <c r="C29" s="83" t="s">
        <v>148</v>
      </c>
      <c r="D29" s="36">
        <v>0</v>
      </c>
      <c r="E29" s="36">
        <v>0</v>
      </c>
      <c r="F29" s="84"/>
      <c r="G29" s="873"/>
      <c r="H29" s="879"/>
      <c r="I29" s="83" t="s">
        <v>148</v>
      </c>
      <c r="J29" s="82" t="s">
        <v>149</v>
      </c>
      <c r="K29" s="85">
        <f t="shared" si="0"/>
        <v>0</v>
      </c>
      <c r="L29" s="85">
        <f t="shared" si="1"/>
        <v>0</v>
      </c>
      <c r="M29" s="84"/>
      <c r="N29" s="86" t="s">
        <v>360</v>
      </c>
      <c r="O29" s="87" t="s">
        <v>361</v>
      </c>
      <c r="P29" s="88">
        <f>K17</f>
        <v>0</v>
      </c>
      <c r="Q29" s="88">
        <f>L17</f>
        <v>0</v>
      </c>
    </row>
    <row r="30" spans="1:17">
      <c r="A30" s="892"/>
      <c r="B30" s="82" t="s">
        <v>150</v>
      </c>
      <c r="C30" s="83" t="s">
        <v>26</v>
      </c>
      <c r="D30" s="36">
        <v>0</v>
      </c>
      <c r="E30" s="36">
        <v>0</v>
      </c>
      <c r="F30" s="84"/>
      <c r="G30" s="873"/>
      <c r="H30" s="879"/>
      <c r="I30" s="83" t="s">
        <v>26</v>
      </c>
      <c r="J30" s="82" t="s">
        <v>150</v>
      </c>
      <c r="K30" s="85">
        <f t="shared" si="0"/>
        <v>0</v>
      </c>
      <c r="L30" s="85">
        <f t="shared" si="1"/>
        <v>0</v>
      </c>
      <c r="M30" s="84"/>
      <c r="N30" s="86" t="s">
        <v>362</v>
      </c>
      <c r="O30" s="87" t="s">
        <v>91</v>
      </c>
      <c r="P30" s="88">
        <f>K22</f>
        <v>0</v>
      </c>
      <c r="Q30" s="88">
        <f>L22</f>
        <v>0</v>
      </c>
    </row>
    <row r="31" spans="1:17">
      <c r="A31" s="892"/>
      <c r="B31" s="82" t="s">
        <v>95</v>
      </c>
      <c r="C31" s="83" t="s">
        <v>27</v>
      </c>
      <c r="D31" s="36">
        <v>0</v>
      </c>
      <c r="E31" s="36">
        <v>0</v>
      </c>
      <c r="F31" s="84"/>
      <c r="G31" s="873"/>
      <c r="H31" s="879"/>
      <c r="I31" s="83" t="s">
        <v>27</v>
      </c>
      <c r="J31" s="82" t="s">
        <v>95</v>
      </c>
      <c r="K31" s="85">
        <f t="shared" si="0"/>
        <v>0</v>
      </c>
      <c r="L31" s="85">
        <f t="shared" si="1"/>
        <v>0</v>
      </c>
      <c r="M31" s="84"/>
      <c r="N31" s="86" t="s">
        <v>363</v>
      </c>
      <c r="O31" s="87" t="s">
        <v>94</v>
      </c>
      <c r="P31" s="88">
        <f>K26</f>
        <v>0</v>
      </c>
      <c r="Q31" s="88">
        <f>L26</f>
        <v>0</v>
      </c>
    </row>
    <row r="32" spans="1:17">
      <c r="A32" s="892"/>
      <c r="B32" s="82" t="s">
        <v>96</v>
      </c>
      <c r="C32" s="83" t="s">
        <v>28</v>
      </c>
      <c r="D32" s="36">
        <v>0</v>
      </c>
      <c r="E32" s="36">
        <v>0</v>
      </c>
      <c r="F32" s="84"/>
      <c r="G32" s="873"/>
      <c r="H32" s="879"/>
      <c r="I32" s="83" t="s">
        <v>28</v>
      </c>
      <c r="J32" s="82" t="s">
        <v>96</v>
      </c>
      <c r="K32" s="85">
        <f t="shared" si="0"/>
        <v>0</v>
      </c>
      <c r="L32" s="85">
        <f t="shared" si="1"/>
        <v>0</v>
      </c>
      <c r="M32" s="84"/>
      <c r="N32" s="86" t="s">
        <v>364</v>
      </c>
      <c r="O32" s="87" t="s">
        <v>87</v>
      </c>
      <c r="P32" s="88">
        <f>K16</f>
        <v>0</v>
      </c>
      <c r="Q32" s="88">
        <f>L16</f>
        <v>0</v>
      </c>
    </row>
    <row r="33" spans="1:17">
      <c r="A33" s="892"/>
      <c r="B33" s="82" t="s">
        <v>97</v>
      </c>
      <c r="C33" s="83" t="s">
        <v>29</v>
      </c>
      <c r="D33" s="36">
        <v>0</v>
      </c>
      <c r="E33" s="36">
        <v>0</v>
      </c>
      <c r="F33" s="84"/>
      <c r="G33" s="873"/>
      <c r="H33" s="879"/>
      <c r="I33" s="83" t="s">
        <v>29</v>
      </c>
      <c r="J33" s="82" t="s">
        <v>97</v>
      </c>
      <c r="K33" s="85">
        <f t="shared" si="0"/>
        <v>0</v>
      </c>
      <c r="L33" s="85">
        <f t="shared" si="1"/>
        <v>0</v>
      </c>
      <c r="M33" s="84"/>
      <c r="N33" s="86" t="s">
        <v>365</v>
      </c>
      <c r="O33" s="87" t="s">
        <v>145</v>
      </c>
      <c r="P33" s="88">
        <f>K27</f>
        <v>0</v>
      </c>
      <c r="Q33" s="88">
        <f>L27</f>
        <v>0</v>
      </c>
    </row>
    <row r="34" spans="1:17">
      <c r="A34" s="892"/>
      <c r="B34" s="82" t="s">
        <v>98</v>
      </c>
      <c r="C34" s="83" t="s">
        <v>99</v>
      </c>
      <c r="D34" s="36">
        <v>0</v>
      </c>
      <c r="E34" s="36">
        <v>0</v>
      </c>
      <c r="F34" s="84"/>
      <c r="G34" s="873"/>
      <c r="H34" s="879"/>
      <c r="I34" s="83" t="s">
        <v>99</v>
      </c>
      <c r="J34" s="82" t="s">
        <v>98</v>
      </c>
      <c r="K34" s="85">
        <f t="shared" si="0"/>
        <v>0</v>
      </c>
      <c r="L34" s="85">
        <f t="shared" si="1"/>
        <v>0</v>
      </c>
      <c r="M34" s="84"/>
      <c r="N34" s="86" t="s">
        <v>366</v>
      </c>
      <c r="O34" s="87" t="s">
        <v>89</v>
      </c>
      <c r="P34" s="88">
        <f>K18</f>
        <v>0</v>
      </c>
      <c r="Q34" s="88">
        <f>L18</f>
        <v>0</v>
      </c>
    </row>
    <row r="35" spans="1:17">
      <c r="A35" s="892"/>
      <c r="B35" s="82" t="s">
        <v>100</v>
      </c>
      <c r="C35" s="83" t="s">
        <v>101</v>
      </c>
      <c r="D35" s="36">
        <v>0</v>
      </c>
      <c r="E35" s="36">
        <v>0</v>
      </c>
      <c r="F35" s="84"/>
      <c r="G35" s="873"/>
      <c r="H35" s="879"/>
      <c r="I35" s="83" t="s">
        <v>101</v>
      </c>
      <c r="J35" s="82" t="s">
        <v>100</v>
      </c>
      <c r="K35" s="85">
        <f t="shared" si="0"/>
        <v>0</v>
      </c>
      <c r="L35" s="85">
        <f t="shared" si="1"/>
        <v>0</v>
      </c>
      <c r="M35" s="84"/>
      <c r="N35" s="86" t="s">
        <v>367</v>
      </c>
      <c r="O35" s="87" t="s">
        <v>141</v>
      </c>
      <c r="P35" s="88">
        <f>K20</f>
        <v>0</v>
      </c>
      <c r="Q35" s="88">
        <f>L20</f>
        <v>0</v>
      </c>
    </row>
    <row r="36" spans="1:17">
      <c r="A36" s="893"/>
      <c r="B36" s="82" t="s">
        <v>151</v>
      </c>
      <c r="C36" s="83" t="s">
        <v>30</v>
      </c>
      <c r="D36" s="36">
        <v>0</v>
      </c>
      <c r="E36" s="36">
        <v>0</v>
      </c>
      <c r="F36" s="84"/>
      <c r="G36" s="874"/>
      <c r="H36" s="880"/>
      <c r="I36" s="83" t="s">
        <v>30</v>
      </c>
      <c r="J36" s="82" t="s">
        <v>151</v>
      </c>
      <c r="K36" s="85">
        <f t="shared" si="0"/>
        <v>0</v>
      </c>
      <c r="L36" s="85">
        <f t="shared" si="1"/>
        <v>0</v>
      </c>
      <c r="M36" s="84"/>
      <c r="N36" s="86" t="s">
        <v>368</v>
      </c>
      <c r="O36" s="87" t="s">
        <v>147</v>
      </c>
      <c r="P36" s="88">
        <f>K28</f>
        <v>0</v>
      </c>
      <c r="Q36" s="88">
        <f>L28</f>
        <v>0</v>
      </c>
    </row>
    <row r="37" spans="1:17">
      <c r="A37" s="97" t="s">
        <v>31</v>
      </c>
      <c r="B37" s="82" t="s">
        <v>102</v>
      </c>
      <c r="C37" s="83" t="s">
        <v>33</v>
      </c>
      <c r="D37" s="36">
        <v>0.193</v>
      </c>
      <c r="E37" s="36">
        <v>0</v>
      </c>
      <c r="F37" s="84"/>
      <c r="G37" s="90" t="s">
        <v>31</v>
      </c>
      <c r="H37" s="91" t="s">
        <v>32</v>
      </c>
      <c r="I37" s="83" t="s">
        <v>33</v>
      </c>
      <c r="J37" s="82" t="s">
        <v>102</v>
      </c>
      <c r="K37" s="85">
        <f t="shared" si="0"/>
        <v>0.193</v>
      </c>
      <c r="L37" s="85">
        <f t="shared" si="1"/>
        <v>0</v>
      </c>
      <c r="M37" s="84"/>
      <c r="N37" s="86" t="s">
        <v>369</v>
      </c>
      <c r="O37" s="87" t="s">
        <v>86</v>
      </c>
      <c r="P37" s="88">
        <f>K15</f>
        <v>6.97</v>
      </c>
      <c r="Q37" s="88">
        <f>L15</f>
        <v>7.81</v>
      </c>
    </row>
    <row r="38" spans="1:17" ht="12.75" customHeight="1">
      <c r="A38" s="891" t="s">
        <v>34</v>
      </c>
      <c r="B38" s="82" t="s">
        <v>103</v>
      </c>
      <c r="C38" s="83" t="s">
        <v>35</v>
      </c>
      <c r="D38" s="36">
        <v>89.58</v>
      </c>
      <c r="E38" s="36">
        <v>199.63</v>
      </c>
      <c r="F38" s="84"/>
      <c r="G38" s="872" t="s">
        <v>34</v>
      </c>
      <c r="H38" s="878" t="s">
        <v>152</v>
      </c>
      <c r="I38" s="83" t="s">
        <v>35</v>
      </c>
      <c r="J38" s="82" t="s">
        <v>103</v>
      </c>
      <c r="K38" s="85">
        <f t="shared" si="0"/>
        <v>89.58</v>
      </c>
      <c r="L38" s="85">
        <f t="shared" si="1"/>
        <v>199.63</v>
      </c>
      <c r="M38" s="84"/>
      <c r="N38" s="86" t="s">
        <v>370</v>
      </c>
      <c r="O38" s="87" t="s">
        <v>143</v>
      </c>
      <c r="P38" s="88">
        <f>K21</f>
        <v>0</v>
      </c>
      <c r="Q38" s="88">
        <f>L21</f>
        <v>0</v>
      </c>
    </row>
    <row r="39" spans="1:17">
      <c r="A39" s="893"/>
      <c r="B39" s="82" t="s">
        <v>104</v>
      </c>
      <c r="C39" s="83" t="s">
        <v>105</v>
      </c>
      <c r="D39" s="36">
        <v>0</v>
      </c>
      <c r="E39" s="36">
        <v>6.9210000000000003</v>
      </c>
      <c r="F39" s="84"/>
      <c r="G39" s="874"/>
      <c r="H39" s="880"/>
      <c r="I39" s="83" t="s">
        <v>105</v>
      </c>
      <c r="J39" s="82" t="s">
        <v>104</v>
      </c>
      <c r="K39" s="85">
        <f t="shared" si="0"/>
        <v>0</v>
      </c>
      <c r="L39" s="85">
        <f t="shared" si="1"/>
        <v>6.9210000000000003</v>
      </c>
      <c r="M39" s="84"/>
      <c r="N39" s="86" t="s">
        <v>371</v>
      </c>
      <c r="O39" s="87" t="s">
        <v>93</v>
      </c>
      <c r="P39" s="88">
        <f>K25</f>
        <v>94.81</v>
      </c>
      <c r="Q39" s="88">
        <f>L25</f>
        <v>672.3</v>
      </c>
    </row>
    <row r="40" spans="1:17">
      <c r="A40" s="891" t="s">
        <v>37</v>
      </c>
      <c r="B40" s="82" t="s">
        <v>106</v>
      </c>
      <c r="C40" s="83" t="s">
        <v>38</v>
      </c>
      <c r="D40" s="36">
        <v>0</v>
      </c>
      <c r="E40" s="36">
        <v>0</v>
      </c>
      <c r="F40" s="84"/>
      <c r="G40" s="872" t="s">
        <v>37</v>
      </c>
      <c r="H40" s="878" t="s">
        <v>153</v>
      </c>
      <c r="I40" s="83" t="s">
        <v>38</v>
      </c>
      <c r="J40" s="82" t="s">
        <v>106</v>
      </c>
      <c r="K40" s="85">
        <f t="shared" si="0"/>
        <v>0</v>
      </c>
      <c r="L40" s="85">
        <f t="shared" si="1"/>
        <v>0</v>
      </c>
      <c r="M40" s="84"/>
      <c r="N40" s="86" t="s">
        <v>372</v>
      </c>
      <c r="O40" s="87" t="s">
        <v>85</v>
      </c>
      <c r="P40" s="88">
        <f>K14</f>
        <v>0</v>
      </c>
      <c r="Q40" s="88">
        <f>L14</f>
        <v>0</v>
      </c>
    </row>
    <row r="41" spans="1:17">
      <c r="A41" s="892"/>
      <c r="B41" s="82" t="s">
        <v>107</v>
      </c>
      <c r="C41" s="83" t="s">
        <v>39</v>
      </c>
      <c r="D41" s="36">
        <v>42.4</v>
      </c>
      <c r="E41" s="36">
        <v>20.49</v>
      </c>
      <c r="F41" s="84"/>
      <c r="G41" s="873"/>
      <c r="H41" s="879"/>
      <c r="I41" s="83" t="s">
        <v>39</v>
      </c>
      <c r="J41" s="82" t="s">
        <v>107</v>
      </c>
      <c r="K41" s="85">
        <f t="shared" si="0"/>
        <v>42.4</v>
      </c>
      <c r="L41" s="85">
        <f t="shared" si="1"/>
        <v>20.49</v>
      </c>
      <c r="M41" s="84"/>
      <c r="N41" s="86" t="s">
        <v>373</v>
      </c>
      <c r="O41" s="87" t="s">
        <v>374</v>
      </c>
      <c r="P41" s="88">
        <f t="shared" ref="P41:Q43" si="6">K10</f>
        <v>8.5000000000000006E-3</v>
      </c>
      <c r="Q41" s="88">
        <f t="shared" si="6"/>
        <v>0</v>
      </c>
    </row>
    <row r="42" spans="1:17">
      <c r="A42" s="892"/>
      <c r="B42" s="82" t="s">
        <v>108</v>
      </c>
      <c r="C42" s="83" t="s">
        <v>40</v>
      </c>
      <c r="D42" s="36">
        <v>1.93</v>
      </c>
      <c r="E42" s="36">
        <v>2.8</v>
      </c>
      <c r="F42" s="84"/>
      <c r="G42" s="873"/>
      <c r="H42" s="879"/>
      <c r="I42" s="83" t="s">
        <v>40</v>
      </c>
      <c r="J42" s="82" t="s">
        <v>108</v>
      </c>
      <c r="K42" s="85">
        <f t="shared" si="0"/>
        <v>1.93</v>
      </c>
      <c r="L42" s="85">
        <f t="shared" si="1"/>
        <v>2.8</v>
      </c>
      <c r="M42" s="84"/>
      <c r="N42" s="86" t="s">
        <v>375</v>
      </c>
      <c r="O42" s="87" t="s">
        <v>82</v>
      </c>
      <c r="P42" s="88">
        <f t="shared" si="6"/>
        <v>0</v>
      </c>
      <c r="Q42" s="88">
        <f t="shared" si="6"/>
        <v>0</v>
      </c>
    </row>
    <row r="43" spans="1:17">
      <c r="A43" s="893"/>
      <c r="B43" s="82" t="s">
        <v>109</v>
      </c>
      <c r="C43" s="83" t="s">
        <v>41</v>
      </c>
      <c r="D43" s="36">
        <v>0</v>
      </c>
      <c r="E43" s="36">
        <v>0</v>
      </c>
      <c r="F43" s="84"/>
      <c r="G43" s="874"/>
      <c r="H43" s="880"/>
      <c r="I43" s="83" t="s">
        <v>41</v>
      </c>
      <c r="J43" s="82" t="s">
        <v>109</v>
      </c>
      <c r="K43" s="85">
        <f t="shared" si="0"/>
        <v>0</v>
      </c>
      <c r="L43" s="85">
        <f t="shared" si="1"/>
        <v>0</v>
      </c>
      <c r="M43" s="84"/>
      <c r="N43" s="86" t="s">
        <v>376</v>
      </c>
      <c r="O43" s="87" t="s">
        <v>83</v>
      </c>
      <c r="P43" s="88">
        <f t="shared" si="6"/>
        <v>449.6</v>
      </c>
      <c r="Q43" s="88">
        <f t="shared" si="6"/>
        <v>230.9</v>
      </c>
    </row>
    <row r="44" spans="1:17">
      <c r="A44" s="891" t="s">
        <v>42</v>
      </c>
      <c r="B44" s="82" t="s">
        <v>110</v>
      </c>
      <c r="C44" s="83" t="s">
        <v>43</v>
      </c>
      <c r="D44" s="36">
        <v>0</v>
      </c>
      <c r="E44" s="36">
        <v>0</v>
      </c>
      <c r="F44" s="84"/>
      <c r="G44" s="872" t="s">
        <v>42</v>
      </c>
      <c r="H44" s="878" t="s">
        <v>154</v>
      </c>
      <c r="I44" s="83" t="s">
        <v>43</v>
      </c>
      <c r="J44" s="82" t="s">
        <v>110</v>
      </c>
      <c r="K44" s="85">
        <f t="shared" si="0"/>
        <v>0</v>
      </c>
      <c r="L44" s="85">
        <f t="shared" si="1"/>
        <v>0</v>
      </c>
      <c r="M44" s="84"/>
      <c r="N44" s="86" t="s">
        <v>377</v>
      </c>
      <c r="O44" s="87" t="s">
        <v>378</v>
      </c>
      <c r="P44" s="88">
        <f>K71</f>
        <v>0</v>
      </c>
      <c r="Q44" s="88">
        <f>L71</f>
        <v>0</v>
      </c>
    </row>
    <row r="45" spans="1:17">
      <c r="A45" s="892"/>
      <c r="B45" s="82" t="s">
        <v>111</v>
      </c>
      <c r="C45" s="83" t="s">
        <v>44</v>
      </c>
      <c r="D45" s="36">
        <v>0</v>
      </c>
      <c r="E45" s="36">
        <v>0</v>
      </c>
      <c r="F45" s="84"/>
      <c r="G45" s="873"/>
      <c r="H45" s="879"/>
      <c r="I45" s="83" t="s">
        <v>44</v>
      </c>
      <c r="J45" s="82" t="s">
        <v>111</v>
      </c>
      <c r="K45" s="85">
        <f t="shared" si="0"/>
        <v>0</v>
      </c>
      <c r="L45" s="85">
        <f t="shared" si="1"/>
        <v>0</v>
      </c>
      <c r="M45" s="84"/>
      <c r="N45" s="86" t="s">
        <v>379</v>
      </c>
      <c r="O45" s="87" t="s">
        <v>176</v>
      </c>
      <c r="P45" s="88">
        <f>K45</f>
        <v>0</v>
      </c>
      <c r="Q45" s="88">
        <f>L45</f>
        <v>0</v>
      </c>
    </row>
    <row r="46" spans="1:17">
      <c r="A46" s="893"/>
      <c r="B46" s="82" t="s">
        <v>155</v>
      </c>
      <c r="C46" s="83" t="s">
        <v>45</v>
      </c>
      <c r="D46" s="36">
        <v>0</v>
      </c>
      <c r="E46" s="36">
        <v>0</v>
      </c>
      <c r="F46" s="84"/>
      <c r="G46" s="874"/>
      <c r="H46" s="880"/>
      <c r="I46" s="83" t="s">
        <v>45</v>
      </c>
      <c r="J46" s="82" t="s">
        <v>155</v>
      </c>
      <c r="K46" s="85">
        <f t="shared" si="0"/>
        <v>0</v>
      </c>
      <c r="L46" s="85">
        <f t="shared" si="1"/>
        <v>0</v>
      </c>
      <c r="M46" s="84"/>
      <c r="N46" s="86" t="s">
        <v>380</v>
      </c>
      <c r="O46" s="87" t="s">
        <v>381</v>
      </c>
      <c r="P46" s="88">
        <f>K59</f>
        <v>0</v>
      </c>
      <c r="Q46" s="88">
        <f>L59</f>
        <v>0</v>
      </c>
    </row>
    <row r="47" spans="1:17">
      <c r="A47" s="891" t="s">
        <v>46</v>
      </c>
      <c r="B47" s="82" t="s">
        <v>112</v>
      </c>
      <c r="C47" s="83" t="s">
        <v>47</v>
      </c>
      <c r="D47" s="36">
        <v>723.21</v>
      </c>
      <c r="E47" s="36">
        <v>691.19</v>
      </c>
      <c r="F47" s="84"/>
      <c r="G47" s="872" t="s">
        <v>46</v>
      </c>
      <c r="H47" s="878" t="s">
        <v>156</v>
      </c>
      <c r="I47" s="83" t="s">
        <v>47</v>
      </c>
      <c r="J47" s="82" t="s">
        <v>112</v>
      </c>
      <c r="K47" s="85">
        <f t="shared" si="0"/>
        <v>723.21</v>
      </c>
      <c r="L47" s="85">
        <f t="shared" si="1"/>
        <v>691.19</v>
      </c>
      <c r="M47" s="84"/>
      <c r="N47" s="86" t="s">
        <v>382</v>
      </c>
      <c r="O47" s="87" t="s">
        <v>383</v>
      </c>
      <c r="P47" s="88">
        <f>K55</f>
        <v>0</v>
      </c>
      <c r="Q47" s="88">
        <f>L55</f>
        <v>0</v>
      </c>
    </row>
    <row r="48" spans="1:17">
      <c r="A48" s="892"/>
      <c r="B48" s="82" t="s">
        <v>157</v>
      </c>
      <c r="C48" s="83" t="s">
        <v>48</v>
      </c>
      <c r="D48" s="36">
        <v>556</v>
      </c>
      <c r="E48" s="36">
        <v>305</v>
      </c>
      <c r="F48" s="84"/>
      <c r="G48" s="873"/>
      <c r="H48" s="879"/>
      <c r="I48" s="83" t="s">
        <v>48</v>
      </c>
      <c r="J48" s="82" t="s">
        <v>157</v>
      </c>
      <c r="K48" s="85">
        <f t="shared" si="0"/>
        <v>556</v>
      </c>
      <c r="L48" s="85">
        <f t="shared" si="1"/>
        <v>305</v>
      </c>
      <c r="M48" s="84"/>
      <c r="N48" s="86" t="s">
        <v>384</v>
      </c>
      <c r="O48" s="87" t="s">
        <v>106</v>
      </c>
      <c r="P48" s="88">
        <f>K40</f>
        <v>0</v>
      </c>
      <c r="Q48" s="88">
        <f>L40</f>
        <v>0</v>
      </c>
    </row>
    <row r="49" spans="1:17">
      <c r="A49" s="895"/>
      <c r="B49" s="82" t="s">
        <v>158</v>
      </c>
      <c r="C49" s="83" t="s">
        <v>49</v>
      </c>
      <c r="D49" s="36">
        <v>0</v>
      </c>
      <c r="E49" s="36">
        <v>0</v>
      </c>
      <c r="F49" s="84"/>
      <c r="G49" s="874"/>
      <c r="H49" s="880"/>
      <c r="I49" s="83" t="s">
        <v>49</v>
      </c>
      <c r="J49" s="82" t="s">
        <v>158</v>
      </c>
      <c r="K49" s="85">
        <f t="shared" si="0"/>
        <v>0</v>
      </c>
      <c r="L49" s="85">
        <f t="shared" si="1"/>
        <v>0</v>
      </c>
      <c r="M49" s="84"/>
      <c r="N49" s="86" t="s">
        <v>385</v>
      </c>
      <c r="O49" s="87" t="s">
        <v>108</v>
      </c>
      <c r="P49" s="88">
        <f>K42</f>
        <v>1.93</v>
      </c>
      <c r="Q49" s="88">
        <f>L42</f>
        <v>2.8</v>
      </c>
    </row>
    <row r="50" spans="1:17">
      <c r="A50" s="896" t="s">
        <v>50</v>
      </c>
      <c r="B50" s="82" t="s">
        <v>113</v>
      </c>
      <c r="C50" s="83" t="s">
        <v>51</v>
      </c>
      <c r="D50" s="36">
        <v>0</v>
      </c>
      <c r="E50" s="36">
        <v>0</v>
      </c>
      <c r="F50" s="84"/>
      <c r="G50" s="872" t="s">
        <v>50</v>
      </c>
      <c r="H50" s="878" t="s">
        <v>159</v>
      </c>
      <c r="I50" s="83" t="s">
        <v>51</v>
      </c>
      <c r="J50" s="82" t="s">
        <v>113</v>
      </c>
      <c r="K50" s="85">
        <f t="shared" si="0"/>
        <v>0</v>
      </c>
      <c r="L50" s="85">
        <f t="shared" si="1"/>
        <v>0</v>
      </c>
      <c r="M50" s="84"/>
      <c r="N50" s="86" t="s">
        <v>386</v>
      </c>
      <c r="O50" s="87" t="s">
        <v>107</v>
      </c>
      <c r="P50" s="88">
        <f>K41</f>
        <v>42.4</v>
      </c>
      <c r="Q50" s="88">
        <f>L41</f>
        <v>20.49</v>
      </c>
    </row>
    <row r="51" spans="1:17">
      <c r="A51" s="897"/>
      <c r="B51" s="82" t="s">
        <v>114</v>
      </c>
      <c r="C51" s="83" t="s">
        <v>115</v>
      </c>
      <c r="D51" s="36">
        <v>2648</v>
      </c>
      <c r="E51" s="36">
        <v>2305</v>
      </c>
      <c r="F51" s="84"/>
      <c r="G51" s="873"/>
      <c r="H51" s="879"/>
      <c r="I51" s="83" t="s">
        <v>115</v>
      </c>
      <c r="J51" s="82" t="s">
        <v>114</v>
      </c>
      <c r="K51" s="85">
        <f t="shared" si="0"/>
        <v>2648</v>
      </c>
      <c r="L51" s="85">
        <f t="shared" si="1"/>
        <v>2305</v>
      </c>
      <c r="M51" s="84"/>
      <c r="N51" s="86" t="s">
        <v>387</v>
      </c>
      <c r="O51" s="87" t="s">
        <v>388</v>
      </c>
      <c r="P51" s="88">
        <f t="shared" ref="P51:Q52" si="7">K57</f>
        <v>0</v>
      </c>
      <c r="Q51" s="88">
        <f t="shared" si="7"/>
        <v>0</v>
      </c>
    </row>
    <row r="52" spans="1:17">
      <c r="A52" s="897"/>
      <c r="B52" s="82" t="s">
        <v>116</v>
      </c>
      <c r="C52" s="83" t="s">
        <v>52</v>
      </c>
      <c r="D52" s="36">
        <v>0</v>
      </c>
      <c r="E52" s="36">
        <v>0</v>
      </c>
      <c r="F52" s="84"/>
      <c r="G52" s="873"/>
      <c r="H52" s="879"/>
      <c r="I52" s="83" t="s">
        <v>52</v>
      </c>
      <c r="J52" s="82" t="s">
        <v>116</v>
      </c>
      <c r="K52" s="85">
        <f t="shared" si="0"/>
        <v>0</v>
      </c>
      <c r="L52" s="85">
        <f t="shared" si="1"/>
        <v>0</v>
      </c>
      <c r="M52" s="84"/>
      <c r="N52" s="86" t="s">
        <v>389</v>
      </c>
      <c r="O52" s="87" t="s">
        <v>390</v>
      </c>
      <c r="P52" s="88">
        <f t="shared" si="7"/>
        <v>0</v>
      </c>
      <c r="Q52" s="88">
        <f t="shared" si="7"/>
        <v>0</v>
      </c>
    </row>
    <row r="53" spans="1:17">
      <c r="A53" s="898"/>
      <c r="B53" s="82" t="s">
        <v>117</v>
      </c>
      <c r="C53" s="83" t="s">
        <v>118</v>
      </c>
      <c r="D53" s="36">
        <v>0</v>
      </c>
      <c r="E53" s="36">
        <v>0</v>
      </c>
      <c r="F53" s="84"/>
      <c r="G53" s="874"/>
      <c r="H53" s="880"/>
      <c r="I53" s="83" t="s">
        <v>118</v>
      </c>
      <c r="J53" s="82" t="s">
        <v>117</v>
      </c>
      <c r="K53" s="85">
        <f t="shared" si="0"/>
        <v>0</v>
      </c>
      <c r="L53" s="85">
        <f t="shared" si="1"/>
        <v>0</v>
      </c>
      <c r="M53" s="84"/>
      <c r="N53" s="86" t="s">
        <v>391</v>
      </c>
      <c r="O53" s="87" t="s">
        <v>392</v>
      </c>
      <c r="P53" s="88">
        <f>K56</f>
        <v>0</v>
      </c>
      <c r="Q53" s="88">
        <f>L56</f>
        <v>0</v>
      </c>
    </row>
    <row r="54" spans="1:17">
      <c r="A54" s="899" t="s">
        <v>53</v>
      </c>
      <c r="B54" s="82" t="s">
        <v>160</v>
      </c>
      <c r="C54" s="83" t="s">
        <v>55</v>
      </c>
      <c r="D54" s="36">
        <v>6.26</v>
      </c>
      <c r="E54" s="36">
        <v>19.062999999999999</v>
      </c>
      <c r="F54" s="84"/>
      <c r="G54" s="872" t="s">
        <v>53</v>
      </c>
      <c r="H54" s="878" t="s">
        <v>54</v>
      </c>
      <c r="I54" s="83" t="s">
        <v>55</v>
      </c>
      <c r="J54" s="82" t="s">
        <v>160</v>
      </c>
      <c r="K54" s="85">
        <f t="shared" ref="K54:K78" si="8">IF(ISNUMBER(D54),D54,"")</f>
        <v>6.26</v>
      </c>
      <c r="L54" s="85">
        <f t="shared" ref="L54:L78" si="9">IF(ISNUMBER(E54),E54,"")</f>
        <v>19.062999999999999</v>
      </c>
      <c r="M54" s="98"/>
      <c r="N54" s="93"/>
      <c r="O54" s="94" t="s">
        <v>405</v>
      </c>
      <c r="P54" s="95"/>
      <c r="Q54" s="96"/>
    </row>
    <row r="55" spans="1:17">
      <c r="A55" s="892"/>
      <c r="B55" s="82" t="s">
        <v>161</v>
      </c>
      <c r="C55" s="83" t="s">
        <v>56</v>
      </c>
      <c r="D55" s="36">
        <v>0</v>
      </c>
      <c r="E55" s="36">
        <v>0</v>
      </c>
      <c r="F55" s="84"/>
      <c r="G55" s="873"/>
      <c r="H55" s="879"/>
      <c r="I55" s="83" t="s">
        <v>56</v>
      </c>
      <c r="J55" s="82" t="s">
        <v>161</v>
      </c>
      <c r="K55" s="85">
        <f t="shared" si="8"/>
        <v>0</v>
      </c>
      <c r="L55" s="85">
        <f t="shared" si="9"/>
        <v>0</v>
      </c>
      <c r="M55" s="84"/>
      <c r="N55" s="86" t="s">
        <v>393</v>
      </c>
      <c r="O55" s="87" t="s">
        <v>394</v>
      </c>
      <c r="P55" s="99"/>
      <c r="Q55" s="99"/>
    </row>
    <row r="56" spans="1:17">
      <c r="A56" s="892"/>
      <c r="B56" s="82" t="s">
        <v>162</v>
      </c>
      <c r="C56" s="83" t="s">
        <v>57</v>
      </c>
      <c r="D56" s="36">
        <v>0</v>
      </c>
      <c r="E56" s="36">
        <v>0</v>
      </c>
      <c r="F56" s="84"/>
      <c r="G56" s="873"/>
      <c r="H56" s="879"/>
      <c r="I56" s="83" t="s">
        <v>57</v>
      </c>
      <c r="J56" s="82" t="s">
        <v>162</v>
      </c>
      <c r="K56" s="85">
        <f t="shared" si="8"/>
        <v>0</v>
      </c>
      <c r="L56" s="85">
        <f t="shared" si="9"/>
        <v>0</v>
      </c>
      <c r="M56" s="84"/>
      <c r="N56" s="86" t="s">
        <v>395</v>
      </c>
      <c r="O56" s="87" t="s">
        <v>396</v>
      </c>
      <c r="P56" s="99"/>
      <c r="Q56" s="99"/>
    </row>
    <row r="57" spans="1:17">
      <c r="A57" s="892"/>
      <c r="B57" s="82" t="s">
        <v>119</v>
      </c>
      <c r="C57" s="83" t="s">
        <v>120</v>
      </c>
      <c r="D57" s="36">
        <v>0</v>
      </c>
      <c r="E57" s="36">
        <v>0</v>
      </c>
      <c r="F57" s="84"/>
      <c r="G57" s="873"/>
      <c r="H57" s="879"/>
      <c r="I57" s="83" t="s">
        <v>120</v>
      </c>
      <c r="J57" s="82" t="s">
        <v>119</v>
      </c>
      <c r="K57" s="85">
        <f t="shared" si="8"/>
        <v>0</v>
      </c>
      <c r="L57" s="85">
        <f t="shared" si="9"/>
        <v>0</v>
      </c>
      <c r="M57" s="84"/>
      <c r="N57" s="100"/>
      <c r="O57" s="101" t="s">
        <v>408</v>
      </c>
      <c r="P57" s="102"/>
      <c r="Q57" s="103"/>
    </row>
    <row r="58" spans="1:17">
      <c r="A58" s="892"/>
      <c r="B58" s="82" t="s">
        <v>121</v>
      </c>
      <c r="C58" s="83" t="s">
        <v>122</v>
      </c>
      <c r="D58" s="36">
        <v>0</v>
      </c>
      <c r="E58" s="36">
        <v>0</v>
      </c>
      <c r="F58" s="84"/>
      <c r="G58" s="873"/>
      <c r="H58" s="879"/>
      <c r="I58" s="83" t="s">
        <v>122</v>
      </c>
      <c r="J58" s="82" t="s">
        <v>121</v>
      </c>
      <c r="K58" s="85">
        <f t="shared" si="8"/>
        <v>0</v>
      </c>
      <c r="L58" s="85">
        <f t="shared" si="9"/>
        <v>0</v>
      </c>
      <c r="M58" s="84"/>
      <c r="N58" s="89">
        <v>1</v>
      </c>
      <c r="O58" s="104" t="s">
        <v>397</v>
      </c>
      <c r="P58" s="35">
        <f t="shared" ref="P58" si="10">IF(OR(ISNUMBER(K23),ISNUMBER(K24),ISNUMBER(K29),ISNUMBER(K30)),SUM(K23:K24,K29:K30),"")</f>
        <v>0</v>
      </c>
      <c r="Q58" s="35">
        <f>IF(OR(ISNUMBER(L23),ISNUMBER(L24),ISNUMBER(L29),ISNUMBER(L30)),SUM(L23:L24,L29:L30),"")</f>
        <v>0</v>
      </c>
    </row>
    <row r="59" spans="1:17">
      <c r="A59" s="892"/>
      <c r="B59" s="82" t="s">
        <v>123</v>
      </c>
      <c r="C59" s="83" t="s">
        <v>124</v>
      </c>
      <c r="D59" s="36">
        <v>0</v>
      </c>
      <c r="E59" s="36">
        <v>0</v>
      </c>
      <c r="F59" s="84"/>
      <c r="G59" s="873"/>
      <c r="H59" s="879"/>
      <c r="I59" s="83" t="s">
        <v>124</v>
      </c>
      <c r="J59" s="82" t="s">
        <v>123</v>
      </c>
      <c r="K59" s="85">
        <f t="shared" si="8"/>
        <v>0</v>
      </c>
      <c r="L59" s="85">
        <f t="shared" si="9"/>
        <v>0</v>
      </c>
      <c r="M59" s="84"/>
      <c r="N59" s="89">
        <v>2</v>
      </c>
      <c r="O59" s="104" t="s">
        <v>398</v>
      </c>
      <c r="P59" s="35">
        <f>IF(OR(ISNUMBER(K31),ISNUMBER(K32),ISNUMBER(K33),ISNUMBER(K36)),SUM(K31:K33,K36),"")</f>
        <v>0</v>
      </c>
      <c r="Q59" s="35">
        <f>IF(OR(ISNUMBER(L31),ISNUMBER(L32),ISNUMBER(L33),ISNUMBER(L36)),SUM(L31:L33,L36),"")</f>
        <v>0</v>
      </c>
    </row>
    <row r="60" spans="1:17">
      <c r="A60" s="892"/>
      <c r="B60" s="82" t="s">
        <v>136</v>
      </c>
      <c r="C60" s="83" t="s">
        <v>58</v>
      </c>
      <c r="D60" s="36">
        <v>0</v>
      </c>
      <c r="E60" s="36">
        <v>0</v>
      </c>
      <c r="F60" s="84"/>
      <c r="G60" s="873"/>
      <c r="H60" s="879"/>
      <c r="I60" s="83" t="s">
        <v>58</v>
      </c>
      <c r="J60" s="82" t="s">
        <v>136</v>
      </c>
      <c r="K60" s="85">
        <f t="shared" si="8"/>
        <v>0</v>
      </c>
      <c r="L60" s="85">
        <f t="shared" si="9"/>
        <v>0</v>
      </c>
      <c r="M60" s="84"/>
      <c r="N60" s="89">
        <v>3</v>
      </c>
      <c r="O60" s="104" t="s">
        <v>323</v>
      </c>
      <c r="P60" s="35">
        <f t="shared" ref="P60:Q60" si="11">IF(OR(ISNUMBER(K60),ISNUMBER(K61),ISNUMBER(K62),ISNUMBER(K63)),SUM(K60:K63),"")</f>
        <v>0</v>
      </c>
      <c r="Q60" s="35">
        <f t="shared" si="11"/>
        <v>0</v>
      </c>
    </row>
    <row r="61" spans="1:17">
      <c r="A61" s="892"/>
      <c r="B61" s="82" t="s">
        <v>125</v>
      </c>
      <c r="C61" s="83" t="s">
        <v>59</v>
      </c>
      <c r="D61" s="36">
        <v>0</v>
      </c>
      <c r="E61" s="36">
        <v>0</v>
      </c>
      <c r="F61" s="84"/>
      <c r="G61" s="873"/>
      <c r="H61" s="879"/>
      <c r="I61" s="83" t="s">
        <v>59</v>
      </c>
      <c r="J61" s="82" t="s">
        <v>125</v>
      </c>
      <c r="K61" s="85">
        <f t="shared" si="8"/>
        <v>0</v>
      </c>
      <c r="L61" s="85">
        <f t="shared" si="9"/>
        <v>0</v>
      </c>
      <c r="M61" s="84"/>
      <c r="N61" s="89">
        <v>4</v>
      </c>
      <c r="O61" s="104" t="s">
        <v>159</v>
      </c>
      <c r="P61" s="35">
        <f>IF(OR(ISNUMBER(K50),ISNUMBER(K51),ISNUMBER(K52),ISNUMBER(K53)),SUM(K50:K53),"")</f>
        <v>2648</v>
      </c>
      <c r="Q61" s="35">
        <f>IF(OR(ISNUMBER(L49),ISNUMBER(L50),ISNUMBER(L52),ISNUMBER(L53)),SUM(L49:L53),"")</f>
        <v>2305</v>
      </c>
    </row>
    <row r="62" spans="1:17">
      <c r="A62" s="892"/>
      <c r="B62" s="82" t="s">
        <v>163</v>
      </c>
      <c r="C62" s="83" t="s">
        <v>60</v>
      </c>
      <c r="D62" s="36">
        <v>0</v>
      </c>
      <c r="E62" s="36">
        <v>0</v>
      </c>
      <c r="F62" s="84"/>
      <c r="G62" s="873"/>
      <c r="H62" s="879"/>
      <c r="I62" s="83" t="s">
        <v>60</v>
      </c>
      <c r="J62" s="82" t="s">
        <v>163</v>
      </c>
      <c r="K62" s="85">
        <f t="shared" si="8"/>
        <v>0</v>
      </c>
      <c r="L62" s="85">
        <f t="shared" si="9"/>
        <v>0</v>
      </c>
      <c r="M62" s="84"/>
      <c r="N62" s="89">
        <v>5</v>
      </c>
      <c r="O62" s="82" t="s">
        <v>399</v>
      </c>
      <c r="P62" s="35">
        <f>K64</f>
        <v>1.66</v>
      </c>
      <c r="Q62" s="35">
        <f>L64</f>
        <v>1.59</v>
      </c>
    </row>
    <row r="63" spans="1:17">
      <c r="A63" s="894"/>
      <c r="B63" s="82" t="s">
        <v>126</v>
      </c>
      <c r="C63" s="83" t="s">
        <v>61</v>
      </c>
      <c r="D63" s="36">
        <v>0</v>
      </c>
      <c r="E63" s="36">
        <v>0</v>
      </c>
      <c r="F63" s="84"/>
      <c r="G63" s="874"/>
      <c r="H63" s="880"/>
      <c r="I63" s="83" t="s">
        <v>61</v>
      </c>
      <c r="J63" s="82" t="s">
        <v>126</v>
      </c>
      <c r="K63" s="85">
        <f t="shared" si="8"/>
        <v>0</v>
      </c>
      <c r="L63" s="85">
        <f t="shared" si="9"/>
        <v>0</v>
      </c>
      <c r="M63" s="84"/>
      <c r="N63" s="89">
        <v>6</v>
      </c>
      <c r="O63" s="105" t="s">
        <v>462</v>
      </c>
      <c r="P63" s="35">
        <f t="shared" ref="P63:Q63" si="12">K65</f>
        <v>1908.36</v>
      </c>
      <c r="Q63" s="35">
        <f t="shared" si="12"/>
        <v>439.63</v>
      </c>
    </row>
    <row r="64" spans="1:17">
      <c r="A64" s="891" t="s">
        <v>62</v>
      </c>
      <c r="B64" s="82" t="s">
        <v>165</v>
      </c>
      <c r="C64" s="83" t="s">
        <v>63</v>
      </c>
      <c r="D64" s="36">
        <v>1.66</v>
      </c>
      <c r="E64" s="36">
        <v>1.59</v>
      </c>
      <c r="F64" s="84"/>
      <c r="G64" s="872" t="s">
        <v>62</v>
      </c>
      <c r="H64" s="878" t="s">
        <v>164</v>
      </c>
      <c r="I64" s="83" t="s">
        <v>63</v>
      </c>
      <c r="J64" s="82" t="s">
        <v>165</v>
      </c>
      <c r="K64" s="85">
        <f t="shared" si="8"/>
        <v>1.66</v>
      </c>
      <c r="L64" s="85">
        <f t="shared" si="9"/>
        <v>1.59</v>
      </c>
      <c r="M64" s="106"/>
      <c r="N64" s="89">
        <v>7</v>
      </c>
      <c r="O64" s="105" t="s">
        <v>463</v>
      </c>
      <c r="P64" s="35">
        <f>IF(OR(ISNUMBER(K66),ISNUMBER(K69)),SUM(K66,K69),"")</f>
        <v>0</v>
      </c>
      <c r="Q64" s="35">
        <f>IF(OR(ISNUMBER(L66),ISNUMBER(L69)),SUM(L66,L69),"")</f>
        <v>0</v>
      </c>
    </row>
    <row r="65" spans="1:17">
      <c r="A65" s="892"/>
      <c r="B65" s="82" t="s">
        <v>127</v>
      </c>
      <c r="C65" s="83" t="s">
        <v>64</v>
      </c>
      <c r="D65" s="36">
        <v>1908.36</v>
      </c>
      <c r="E65" s="36">
        <v>439.63</v>
      </c>
      <c r="F65" s="84"/>
      <c r="G65" s="873"/>
      <c r="H65" s="879"/>
      <c r="I65" s="83" t="s">
        <v>64</v>
      </c>
      <c r="J65" s="82" t="s">
        <v>127</v>
      </c>
      <c r="K65" s="85">
        <f t="shared" si="8"/>
        <v>1908.36</v>
      </c>
      <c r="L65" s="85">
        <f t="shared" si="9"/>
        <v>439.63</v>
      </c>
      <c r="M65" s="106"/>
      <c r="N65" s="89">
        <v>8</v>
      </c>
      <c r="O65" s="104" t="s">
        <v>133</v>
      </c>
      <c r="P65" s="35">
        <f>K78</f>
        <v>1278.3</v>
      </c>
      <c r="Q65" s="35">
        <f>L78</f>
        <v>1659.74</v>
      </c>
    </row>
    <row r="66" spans="1:17">
      <c r="A66" s="892"/>
      <c r="B66" s="82" t="s">
        <v>166</v>
      </c>
      <c r="C66" s="83" t="s">
        <v>65</v>
      </c>
      <c r="D66" s="36">
        <v>0</v>
      </c>
      <c r="E66" s="36">
        <v>0</v>
      </c>
      <c r="F66" s="84"/>
      <c r="G66" s="873"/>
      <c r="H66" s="879"/>
      <c r="I66" s="83" t="s">
        <v>65</v>
      </c>
      <c r="J66" s="82" t="s">
        <v>166</v>
      </c>
      <c r="K66" s="85">
        <f t="shared" si="8"/>
        <v>0</v>
      </c>
      <c r="L66" s="85">
        <f t="shared" si="9"/>
        <v>0</v>
      </c>
      <c r="M66" s="106"/>
      <c r="N66" s="107"/>
    </row>
    <row r="67" spans="1:17">
      <c r="A67" s="892"/>
      <c r="B67" s="82" t="s">
        <v>173</v>
      </c>
      <c r="C67" s="83" t="s">
        <v>66</v>
      </c>
      <c r="D67" s="36">
        <v>0</v>
      </c>
      <c r="E67" s="36">
        <v>0</v>
      </c>
      <c r="F67" s="84"/>
      <c r="G67" s="873"/>
      <c r="H67" s="879"/>
      <c r="I67" s="83" t="s">
        <v>66</v>
      </c>
      <c r="J67" s="82" t="s">
        <v>173</v>
      </c>
      <c r="K67" s="85">
        <f t="shared" si="8"/>
        <v>0</v>
      </c>
      <c r="L67" s="85">
        <f t="shared" si="9"/>
        <v>0</v>
      </c>
      <c r="M67" s="106"/>
      <c r="N67" s="107"/>
    </row>
    <row r="68" spans="1:17">
      <c r="A68" s="892"/>
      <c r="B68" s="82" t="s">
        <v>174</v>
      </c>
      <c r="C68" s="83" t="s">
        <v>67</v>
      </c>
      <c r="D68" s="36">
        <v>0</v>
      </c>
      <c r="E68" s="36">
        <v>0</v>
      </c>
      <c r="F68" s="84"/>
      <c r="G68" s="873"/>
      <c r="H68" s="879"/>
      <c r="I68" s="83" t="s">
        <v>67</v>
      </c>
      <c r="J68" s="82" t="s">
        <v>174</v>
      </c>
      <c r="K68" s="85">
        <f t="shared" si="8"/>
        <v>0</v>
      </c>
      <c r="L68" s="85">
        <f t="shared" si="9"/>
        <v>0</v>
      </c>
      <c r="M68" s="106"/>
      <c r="N68" s="107"/>
    </row>
    <row r="69" spans="1:17">
      <c r="A69" s="892"/>
      <c r="B69" s="82" t="s">
        <v>175</v>
      </c>
      <c r="C69" s="83" t="s">
        <v>68</v>
      </c>
      <c r="D69" s="36">
        <v>0</v>
      </c>
      <c r="E69" s="36">
        <v>0</v>
      </c>
      <c r="F69" s="84"/>
      <c r="G69" s="873"/>
      <c r="H69" s="879"/>
      <c r="I69" s="83" t="s">
        <v>68</v>
      </c>
      <c r="J69" s="82" t="s">
        <v>175</v>
      </c>
      <c r="K69" s="85">
        <f t="shared" si="8"/>
        <v>0</v>
      </c>
      <c r="L69" s="85">
        <f t="shared" si="9"/>
        <v>0</v>
      </c>
      <c r="M69" s="106"/>
      <c r="N69" s="107"/>
    </row>
    <row r="70" spans="1:17">
      <c r="A70" s="892"/>
      <c r="B70" s="82" t="s">
        <v>167</v>
      </c>
      <c r="C70" s="83" t="s">
        <v>128</v>
      </c>
      <c r="D70" s="36">
        <v>0</v>
      </c>
      <c r="E70" s="36">
        <v>0</v>
      </c>
      <c r="F70" s="84"/>
      <c r="G70" s="873"/>
      <c r="H70" s="879"/>
      <c r="I70" s="83" t="s">
        <v>128</v>
      </c>
      <c r="J70" s="82" t="s">
        <v>167</v>
      </c>
      <c r="K70" s="108">
        <f t="shared" si="8"/>
        <v>0</v>
      </c>
      <c r="L70" s="108">
        <f t="shared" si="9"/>
        <v>0</v>
      </c>
      <c r="M70" s="106"/>
      <c r="N70" s="107"/>
    </row>
    <row r="71" spans="1:17">
      <c r="A71" s="892"/>
      <c r="B71" s="82" t="s">
        <v>129</v>
      </c>
      <c r="C71" s="83" t="s">
        <v>69</v>
      </c>
      <c r="D71" s="36">
        <v>0</v>
      </c>
      <c r="E71" s="36">
        <v>0</v>
      </c>
      <c r="F71" s="84"/>
      <c r="G71" s="873"/>
      <c r="H71" s="879"/>
      <c r="I71" s="83" t="s">
        <v>69</v>
      </c>
      <c r="J71" s="82" t="s">
        <v>129</v>
      </c>
      <c r="K71" s="85">
        <f t="shared" si="8"/>
        <v>0</v>
      </c>
      <c r="L71" s="85">
        <f t="shared" si="9"/>
        <v>0</v>
      </c>
      <c r="M71" s="106"/>
      <c r="N71" s="107"/>
    </row>
    <row r="72" spans="1:17">
      <c r="A72" s="894"/>
      <c r="B72" s="82" t="s">
        <v>168</v>
      </c>
      <c r="C72" s="83" t="s">
        <v>70</v>
      </c>
      <c r="D72" s="36">
        <v>0</v>
      </c>
      <c r="E72" s="36">
        <v>0</v>
      </c>
      <c r="F72" s="84"/>
      <c r="G72" s="874"/>
      <c r="H72" s="880"/>
      <c r="I72" s="83" t="s">
        <v>70</v>
      </c>
      <c r="J72" s="82" t="s">
        <v>168</v>
      </c>
      <c r="K72" s="85">
        <f t="shared" si="8"/>
        <v>0</v>
      </c>
      <c r="L72" s="85">
        <f t="shared" si="9"/>
        <v>0</v>
      </c>
      <c r="M72" s="106"/>
      <c r="N72" s="107"/>
    </row>
    <row r="73" spans="1:17">
      <c r="A73" s="891" t="s">
        <v>71</v>
      </c>
      <c r="B73" s="82" t="s">
        <v>170</v>
      </c>
      <c r="C73" s="83" t="s">
        <v>72</v>
      </c>
      <c r="D73" s="36">
        <v>150.13999999999999</v>
      </c>
      <c r="E73" s="36">
        <v>142.72</v>
      </c>
      <c r="F73" s="84"/>
      <c r="G73" s="872" t="s">
        <v>71</v>
      </c>
      <c r="H73" s="878" t="s">
        <v>169</v>
      </c>
      <c r="I73" s="83" t="s">
        <v>72</v>
      </c>
      <c r="J73" s="82" t="s">
        <v>170</v>
      </c>
      <c r="K73" s="85">
        <f t="shared" si="8"/>
        <v>150.13999999999999</v>
      </c>
      <c r="L73" s="85">
        <f t="shared" si="9"/>
        <v>142.72</v>
      </c>
      <c r="M73" s="106"/>
      <c r="N73" s="107"/>
    </row>
    <row r="74" spans="1:17">
      <c r="A74" s="892"/>
      <c r="B74" s="82" t="s">
        <v>130</v>
      </c>
      <c r="C74" s="83" t="s">
        <v>73</v>
      </c>
      <c r="D74" s="36">
        <v>330</v>
      </c>
      <c r="E74" s="36">
        <v>156</v>
      </c>
      <c r="F74" s="84"/>
      <c r="G74" s="873"/>
      <c r="H74" s="879"/>
      <c r="I74" s="83" t="s">
        <v>73</v>
      </c>
      <c r="J74" s="82" t="s">
        <v>130</v>
      </c>
      <c r="K74" s="85">
        <f t="shared" si="8"/>
        <v>330</v>
      </c>
      <c r="L74" s="85">
        <f t="shared" si="9"/>
        <v>156</v>
      </c>
      <c r="M74" s="106"/>
      <c r="N74" s="107"/>
    </row>
    <row r="75" spans="1:17">
      <c r="A75" s="894"/>
      <c r="B75" s="82" t="s">
        <v>131</v>
      </c>
      <c r="C75" s="83" t="s">
        <v>74</v>
      </c>
      <c r="D75" s="36">
        <v>0</v>
      </c>
      <c r="E75" s="36">
        <v>0</v>
      </c>
      <c r="F75" s="84"/>
      <c r="G75" s="874"/>
      <c r="H75" s="880"/>
      <c r="I75" s="83" t="s">
        <v>74</v>
      </c>
      <c r="J75" s="82" t="s">
        <v>131</v>
      </c>
      <c r="K75" s="85">
        <f t="shared" si="8"/>
        <v>0</v>
      </c>
      <c r="L75" s="85">
        <f t="shared" si="9"/>
        <v>0</v>
      </c>
      <c r="M75" s="106"/>
      <c r="N75" s="107"/>
    </row>
    <row r="76" spans="1:17">
      <c r="A76" s="891" t="s">
        <v>75</v>
      </c>
      <c r="B76" s="82" t="s">
        <v>171</v>
      </c>
      <c r="C76" s="83" t="s">
        <v>77</v>
      </c>
      <c r="D76" s="36">
        <v>24.14</v>
      </c>
      <c r="E76" s="36">
        <v>28.939</v>
      </c>
      <c r="F76" s="84"/>
      <c r="G76" s="872" t="s">
        <v>75</v>
      </c>
      <c r="H76" s="878" t="s">
        <v>76</v>
      </c>
      <c r="I76" s="83" t="s">
        <v>77</v>
      </c>
      <c r="J76" s="82" t="s">
        <v>171</v>
      </c>
      <c r="K76" s="85">
        <f t="shared" si="8"/>
        <v>24.14</v>
      </c>
      <c r="L76" s="85">
        <f t="shared" si="9"/>
        <v>28.939</v>
      </c>
      <c r="M76" s="106"/>
      <c r="N76" s="107"/>
    </row>
    <row r="77" spans="1:17">
      <c r="A77" s="892"/>
      <c r="B77" s="82" t="s">
        <v>132</v>
      </c>
      <c r="C77" s="83" t="s">
        <v>78</v>
      </c>
      <c r="D77" s="36">
        <v>13</v>
      </c>
      <c r="E77" s="36">
        <v>7.44</v>
      </c>
      <c r="F77" s="84"/>
      <c r="G77" s="873"/>
      <c r="H77" s="879"/>
      <c r="I77" s="83" t="s">
        <v>78</v>
      </c>
      <c r="J77" s="82" t="s">
        <v>132</v>
      </c>
      <c r="K77" s="85">
        <f t="shared" si="8"/>
        <v>13</v>
      </c>
      <c r="L77" s="85">
        <f t="shared" si="9"/>
        <v>7.44</v>
      </c>
      <c r="M77" s="106"/>
      <c r="N77" s="107"/>
    </row>
    <row r="78" spans="1:17">
      <c r="A78" s="892"/>
      <c r="B78" s="82" t="s">
        <v>133</v>
      </c>
      <c r="C78" s="83" t="s">
        <v>134</v>
      </c>
      <c r="D78" s="37">
        <f>690.3+588</f>
        <v>1278.3</v>
      </c>
      <c r="E78" s="37">
        <f>716.24+943.5</f>
        <v>1659.74</v>
      </c>
      <c r="F78" s="84"/>
      <c r="G78" s="873"/>
      <c r="H78" s="879"/>
      <c r="I78" s="83" t="s">
        <v>134</v>
      </c>
      <c r="J78" s="82" t="s">
        <v>133</v>
      </c>
      <c r="K78" s="108">
        <f t="shared" si="8"/>
        <v>1278.3</v>
      </c>
      <c r="L78" s="108">
        <f t="shared" si="9"/>
        <v>1659.74</v>
      </c>
      <c r="M78" s="106"/>
      <c r="N78" s="107"/>
    </row>
    <row r="79" spans="1:17">
      <c r="A79" s="894"/>
      <c r="B79" s="82" t="s">
        <v>135</v>
      </c>
      <c r="C79" s="83" t="s">
        <v>172</v>
      </c>
      <c r="D79" s="36">
        <v>0</v>
      </c>
      <c r="E79" s="36">
        <v>0</v>
      </c>
      <c r="F79" s="84"/>
      <c r="G79" s="874"/>
      <c r="H79" s="880"/>
      <c r="I79" s="83" t="s">
        <v>172</v>
      </c>
      <c r="J79" s="82" t="s">
        <v>135</v>
      </c>
      <c r="K79" s="85">
        <f t="shared" ref="K79" si="13">IF(ISNUMBER(D79),D79,"")</f>
        <v>0</v>
      </c>
      <c r="L79" s="85">
        <f t="shared" ref="L79" si="14">IF(ISNUMBER(E79),E79,"")</f>
        <v>0</v>
      </c>
      <c r="M79" s="106"/>
      <c r="N79" s="107"/>
    </row>
    <row r="80" spans="1:17" ht="18.75" customHeight="1">
      <c r="D80" s="109"/>
      <c r="E80" s="110" t="s">
        <v>867</v>
      </c>
      <c r="F80" s="109"/>
      <c r="M80" s="106"/>
      <c r="N80" s="107"/>
    </row>
    <row r="81" spans="1:14">
      <c r="D81" s="109"/>
      <c r="E81" s="109"/>
      <c r="F81" s="109"/>
      <c r="M81" s="109"/>
      <c r="N81" s="107"/>
    </row>
    <row r="82" spans="1:14">
      <c r="A82" s="113"/>
      <c r="D82" s="114"/>
      <c r="E82" s="109"/>
      <c r="F82" s="109"/>
      <c r="M82" s="109"/>
      <c r="N82" s="107"/>
    </row>
    <row r="83" spans="1:14" ht="18.75">
      <c r="B83" s="115" t="s">
        <v>841</v>
      </c>
      <c r="D83" s="109"/>
      <c r="E83" s="109"/>
      <c r="F83" s="109"/>
      <c r="M83" s="109"/>
    </row>
    <row r="84" spans="1:14">
      <c r="B84" s="38"/>
      <c r="D84" s="109"/>
      <c r="E84" s="109"/>
      <c r="F84" s="109"/>
      <c r="M84" s="109"/>
    </row>
    <row r="85" spans="1:14" ht="15" customHeight="1">
      <c r="B85" s="38"/>
      <c r="D85" s="116"/>
      <c r="E85" s="116"/>
      <c r="F85" s="116"/>
      <c r="H85" s="117"/>
      <c r="M85" s="109"/>
    </row>
    <row r="86" spans="1:14" ht="15">
      <c r="B86" s="39"/>
      <c r="D86" s="116"/>
      <c r="E86" s="116"/>
      <c r="F86" s="116"/>
      <c r="M86" s="116"/>
    </row>
    <row r="87" spans="1:14" ht="15">
      <c r="B87" s="39"/>
      <c r="D87" s="116"/>
      <c r="E87" s="116"/>
      <c r="F87" s="116"/>
      <c r="M87" s="116"/>
    </row>
    <row r="88" spans="1:14" ht="15">
      <c r="B88" s="38"/>
      <c r="D88" s="116"/>
      <c r="E88" s="116"/>
      <c r="F88" s="116"/>
      <c r="M88" s="116"/>
    </row>
    <row r="89" spans="1:14" ht="15">
      <c r="B89" s="38"/>
      <c r="D89" s="116"/>
      <c r="E89" s="116"/>
      <c r="F89" s="116"/>
      <c r="M89" s="116"/>
    </row>
    <row r="90" spans="1:14" ht="15">
      <c r="B90" s="38"/>
      <c r="D90" s="116"/>
      <c r="E90" s="116"/>
      <c r="F90" s="116"/>
      <c r="M90" s="116"/>
    </row>
    <row r="91" spans="1:14" ht="15">
      <c r="B91" s="38"/>
      <c r="D91" s="116"/>
      <c r="E91" s="116"/>
      <c r="F91" s="116"/>
      <c r="M91" s="116"/>
    </row>
    <row r="92" spans="1:14" ht="15">
      <c r="B92" s="38"/>
      <c r="D92" s="116"/>
      <c r="E92" s="116"/>
      <c r="F92" s="116"/>
      <c r="M92" s="116"/>
    </row>
    <row r="93" spans="1:14" ht="15">
      <c r="B93" s="40"/>
      <c r="D93" s="116"/>
      <c r="E93" s="116"/>
      <c r="F93" s="116"/>
      <c r="M93" s="116"/>
    </row>
    <row r="94" spans="1:14" ht="15" customHeight="1">
      <c r="M94" s="116"/>
    </row>
  </sheetData>
  <sheetProtection sheet="1" objects="1" scenarios="1"/>
  <mergeCells count="38">
    <mergeCell ref="A76:A79"/>
    <mergeCell ref="A47:A49"/>
    <mergeCell ref="A50:A53"/>
    <mergeCell ref="A54:A63"/>
    <mergeCell ref="A64:A72"/>
    <mergeCell ref="A73:A75"/>
    <mergeCell ref="A8:A10"/>
    <mergeCell ref="A13:A36"/>
    <mergeCell ref="A38:A39"/>
    <mergeCell ref="A40:A43"/>
    <mergeCell ref="A44:A46"/>
    <mergeCell ref="D6:E6"/>
    <mergeCell ref="G6:J6"/>
    <mergeCell ref="K6:L6"/>
    <mergeCell ref="G8:G10"/>
    <mergeCell ref="G13:G36"/>
    <mergeCell ref="G50:G53"/>
    <mergeCell ref="G54:G63"/>
    <mergeCell ref="N6:O6"/>
    <mergeCell ref="P6:Q6"/>
    <mergeCell ref="H38:H39"/>
    <mergeCell ref="G38:G39"/>
    <mergeCell ref="G64:G72"/>
    <mergeCell ref="G73:G75"/>
    <mergeCell ref="G76:G79"/>
    <mergeCell ref="H8:H10"/>
    <mergeCell ref="H13:H36"/>
    <mergeCell ref="H40:H43"/>
    <mergeCell ref="H44:H46"/>
    <mergeCell ref="H47:H49"/>
    <mergeCell ref="H50:H53"/>
    <mergeCell ref="H54:H63"/>
    <mergeCell ref="H64:H72"/>
    <mergeCell ref="H73:H75"/>
    <mergeCell ref="H76:H79"/>
    <mergeCell ref="G40:G43"/>
    <mergeCell ref="G44:G46"/>
    <mergeCell ref="G47:G49"/>
  </mergeCells>
  <conditionalFormatting sqref="D8:E79">
    <cfRule type="expression" dxfId="70" priority="1">
      <formula>ISNUMBER(D8)</formula>
    </cfRule>
  </conditionalFormatting>
  <hyperlinks>
    <hyperlink ref="B4" location="Instructions_to_users" display="Instructions to users (hyperlink)"/>
  </hyperlinks>
  <pageMargins left="0.25" right="0.25" top="0.75" bottom="0.75" header="0.3" footer="0.3"/>
  <pageSetup paperSize="9" scale="80" fitToWidth="0" orientation="portrait" r:id="rId1"/>
  <legacyDrawing r:id="rId2"/>
</worksheet>
</file>

<file path=xl/worksheets/sheet3.xml><?xml version="1.0" encoding="utf-8"?>
<worksheet xmlns="http://schemas.openxmlformats.org/spreadsheetml/2006/main" xmlns:r="http://schemas.openxmlformats.org/officeDocument/2006/relationships">
  <sheetPr>
    <tabColor rgb="FF00B050"/>
    <pageSetUpPr fitToPage="1"/>
  </sheetPr>
  <dimension ref="A1:V94"/>
  <sheetViews>
    <sheetView zoomScale="80" zoomScaleNormal="80" workbookViewId="0">
      <pane ySplit="7" topLeftCell="A8" activePane="bottomLeft" state="frozen"/>
      <selection pane="bottomLeft" activeCell="A8" sqref="A8:A10"/>
    </sheetView>
  </sheetViews>
  <sheetFormatPr defaultRowHeight="12.75"/>
  <cols>
    <col min="1" max="1" width="5.7109375" style="174" customWidth="1"/>
    <col min="2" max="2" width="97.5703125" style="174" customWidth="1"/>
    <col min="3" max="3" width="11.28515625" style="174" customWidth="1"/>
    <col min="4" max="4" width="12.28515625" style="174" customWidth="1"/>
    <col min="5" max="5" width="12.7109375" style="200" customWidth="1"/>
    <col min="6" max="6" width="7" style="200" customWidth="1"/>
    <col min="7" max="7" width="7.7109375" style="195" customWidth="1"/>
    <col min="8" max="8" width="20.5703125" style="196" customWidth="1"/>
    <col min="9" max="9" width="9.140625" style="174"/>
    <col min="10" max="10" width="91.5703125" style="174" customWidth="1"/>
    <col min="11" max="11" width="14.28515625" style="174" customWidth="1"/>
    <col min="12" max="12" width="12.28515625" style="174" customWidth="1"/>
    <col min="13" max="13" width="4.7109375" style="138" customWidth="1"/>
    <col min="14" max="14" width="9.7109375" style="174" bestFit="1" customWidth="1"/>
    <col min="15" max="15" width="68.5703125" style="174" bestFit="1" customWidth="1"/>
    <col min="16" max="16" width="13.42578125" style="174" customWidth="1"/>
    <col min="17" max="17" width="12.7109375" style="174" customWidth="1"/>
    <col min="18" max="16384" width="9.140625" style="174"/>
  </cols>
  <sheetData>
    <row r="1" spans="1:22" s="124" customFormat="1" ht="21.75" thickBot="1">
      <c r="A1" s="123" t="s">
        <v>791</v>
      </c>
      <c r="E1" s="125"/>
      <c r="F1" s="125"/>
      <c r="G1" s="125"/>
      <c r="H1" s="125"/>
      <c r="I1" s="125"/>
      <c r="J1" s="126"/>
      <c r="K1" s="127"/>
      <c r="L1" s="127"/>
      <c r="M1" s="127"/>
      <c r="N1" s="126"/>
      <c r="O1" s="127"/>
      <c r="T1" s="125"/>
      <c r="U1" s="128"/>
      <c r="V1" s="128"/>
    </row>
    <row r="2" spans="1:22" s="130" customFormat="1" ht="15">
      <c r="A2" s="129" t="s">
        <v>663</v>
      </c>
      <c r="D2" s="131"/>
      <c r="E2" s="132"/>
      <c r="F2" s="133" t="s">
        <v>444</v>
      </c>
      <c r="G2" s="134"/>
      <c r="H2" s="135"/>
      <c r="I2" s="136" t="s">
        <v>400</v>
      </c>
      <c r="J2" s="137"/>
      <c r="M2" s="138"/>
      <c r="N2" s="139"/>
      <c r="P2" s="140"/>
      <c r="T2" s="138"/>
    </row>
    <row r="3" spans="1:22" s="130" customFormat="1" ht="18.75">
      <c r="B3" s="141" t="s">
        <v>804</v>
      </c>
      <c r="C3" s="118"/>
      <c r="D3" s="142"/>
      <c r="E3" s="143"/>
      <c r="F3" s="144" t="s">
        <v>445</v>
      </c>
      <c r="G3" s="145"/>
      <c r="H3" s="146"/>
      <c r="I3" s="147"/>
      <c r="J3" s="148" t="s">
        <v>785</v>
      </c>
      <c r="M3" s="138"/>
      <c r="N3" s="139"/>
      <c r="T3" s="138"/>
    </row>
    <row r="4" spans="1:22" s="130" customFormat="1" ht="15">
      <c r="B4" s="61" t="s">
        <v>866</v>
      </c>
      <c r="D4" s="142"/>
      <c r="E4" s="149"/>
      <c r="F4" s="150" t="s">
        <v>851</v>
      </c>
      <c r="G4" s="145"/>
      <c r="H4" s="146"/>
      <c r="I4" s="151" t="s">
        <v>802</v>
      </c>
      <c r="J4" s="152" t="s">
        <v>801</v>
      </c>
      <c r="M4" s="138"/>
      <c r="N4" s="139"/>
      <c r="P4" s="153"/>
      <c r="T4" s="138"/>
    </row>
    <row r="5" spans="1:22" s="130" customFormat="1" ht="15.75" thickBot="1">
      <c r="A5" s="154"/>
      <c r="B5" s="155"/>
      <c r="D5" s="142"/>
      <c r="E5" s="156"/>
      <c r="F5" s="157" t="s">
        <v>852</v>
      </c>
      <c r="G5" s="158"/>
      <c r="H5" s="159"/>
      <c r="I5" s="160"/>
      <c r="J5" s="161"/>
      <c r="M5" s="138"/>
      <c r="N5" s="139"/>
      <c r="P5" s="153"/>
      <c r="T5" s="138"/>
    </row>
    <row r="6" spans="1:22" s="163" customFormat="1" ht="18.75" customHeight="1">
      <c r="A6" s="906" t="s">
        <v>664</v>
      </c>
      <c r="B6" s="907"/>
      <c r="C6" s="908"/>
      <c r="D6" s="909"/>
      <c r="E6" s="910"/>
      <c r="F6" s="162"/>
      <c r="G6" s="911" t="s">
        <v>402</v>
      </c>
      <c r="H6" s="912"/>
      <c r="I6" s="912"/>
      <c r="J6" s="913"/>
      <c r="K6" s="889" t="s">
        <v>401</v>
      </c>
      <c r="L6" s="890"/>
      <c r="M6" s="162"/>
      <c r="N6" s="881" t="s">
        <v>403</v>
      </c>
      <c r="O6" s="914"/>
      <c r="P6" s="883" t="s">
        <v>401</v>
      </c>
      <c r="Q6" s="884"/>
    </row>
    <row r="7" spans="1:22" s="168" customFormat="1" ht="24.75" customHeight="1">
      <c r="A7" s="164" t="s">
        <v>0</v>
      </c>
      <c r="B7" s="165" t="s">
        <v>1</v>
      </c>
      <c r="C7" s="164" t="s">
        <v>2</v>
      </c>
      <c r="D7" s="166" t="s">
        <v>668</v>
      </c>
      <c r="E7" s="166" t="s">
        <v>669</v>
      </c>
      <c r="F7" s="167"/>
      <c r="G7" s="75" t="s">
        <v>781</v>
      </c>
      <c r="H7" s="76" t="s">
        <v>409</v>
      </c>
      <c r="I7" s="77" t="s">
        <v>782</v>
      </c>
      <c r="J7" s="76" t="s">
        <v>404</v>
      </c>
      <c r="K7" s="78" t="s">
        <v>668</v>
      </c>
      <c r="L7" s="78" t="s">
        <v>669</v>
      </c>
      <c r="M7" s="167"/>
      <c r="N7" s="79" t="s">
        <v>0</v>
      </c>
      <c r="O7" s="80" t="s">
        <v>406</v>
      </c>
      <c r="P7" s="81" t="s">
        <v>668</v>
      </c>
      <c r="Q7" s="81" t="s">
        <v>669</v>
      </c>
    </row>
    <row r="8" spans="1:22" ht="15" customHeight="1">
      <c r="A8" s="900" t="s">
        <v>3</v>
      </c>
      <c r="B8" s="169" t="s">
        <v>79</v>
      </c>
      <c r="C8" s="170" t="s">
        <v>4</v>
      </c>
      <c r="D8" s="36">
        <v>1.28</v>
      </c>
      <c r="E8" s="36"/>
      <c r="F8" s="171"/>
      <c r="G8" s="900" t="s">
        <v>3</v>
      </c>
      <c r="H8" s="915" t="s">
        <v>137</v>
      </c>
      <c r="I8" s="172" t="s">
        <v>4</v>
      </c>
      <c r="J8" s="169" t="s">
        <v>79</v>
      </c>
      <c r="K8" s="35">
        <f t="shared" ref="K8" si="0">IF(ISNUMBER(D8),D8,"")</f>
        <v>1.28</v>
      </c>
      <c r="L8" s="35" t="str">
        <f t="shared" ref="L8" si="1">IF(ISNUMBER(E8),E8,"")</f>
        <v/>
      </c>
      <c r="M8" s="171"/>
      <c r="N8" s="173" t="s">
        <v>324</v>
      </c>
      <c r="O8" s="87" t="s">
        <v>325</v>
      </c>
      <c r="P8" s="29" t="str">
        <f>K73</f>
        <v/>
      </c>
      <c r="Q8" s="29" t="str">
        <f>L73</f>
        <v/>
      </c>
    </row>
    <row r="9" spans="1:22" ht="15">
      <c r="A9" s="901"/>
      <c r="B9" s="169" t="s">
        <v>139</v>
      </c>
      <c r="C9" s="170" t="s">
        <v>138</v>
      </c>
      <c r="D9" s="36"/>
      <c r="E9" s="36"/>
      <c r="F9" s="171"/>
      <c r="G9" s="901"/>
      <c r="H9" s="916"/>
      <c r="I9" s="172" t="s">
        <v>138</v>
      </c>
      <c r="J9" s="169" t="s">
        <v>139</v>
      </c>
      <c r="K9" s="35" t="str">
        <f t="shared" ref="K9:K51" si="2">IF(ISNUMBER(D9),D9,"")</f>
        <v/>
      </c>
      <c r="L9" s="35" t="str">
        <f t="shared" ref="L9:L51" si="3">IF(ISNUMBER(E9),E9,"")</f>
        <v/>
      </c>
      <c r="M9" s="171"/>
      <c r="N9" s="173" t="s">
        <v>326</v>
      </c>
      <c r="O9" s="87" t="s">
        <v>327</v>
      </c>
      <c r="P9" s="29">
        <f>K75</f>
        <v>103.61464999999998</v>
      </c>
      <c r="Q9" s="29">
        <f>L75</f>
        <v>300.91700000000003</v>
      </c>
    </row>
    <row r="10" spans="1:22" ht="15">
      <c r="A10" s="918"/>
      <c r="B10" s="169" t="s">
        <v>80</v>
      </c>
      <c r="C10" s="170" t="s">
        <v>81</v>
      </c>
      <c r="D10" s="36">
        <v>0.33649999999999997</v>
      </c>
      <c r="E10" s="36">
        <v>1.5375000000000001</v>
      </c>
      <c r="F10" s="171"/>
      <c r="G10" s="902"/>
      <c r="H10" s="917"/>
      <c r="I10" s="172" t="s">
        <v>81</v>
      </c>
      <c r="J10" s="169" t="s">
        <v>80</v>
      </c>
      <c r="K10" s="35">
        <f t="shared" si="2"/>
        <v>0.33649999999999997</v>
      </c>
      <c r="L10" s="35">
        <f t="shared" si="3"/>
        <v>1.5375000000000001</v>
      </c>
      <c r="M10" s="171"/>
      <c r="N10" s="173" t="s">
        <v>328</v>
      </c>
      <c r="O10" s="87" t="s">
        <v>130</v>
      </c>
      <c r="P10" s="29" t="str">
        <f>K74</f>
        <v/>
      </c>
      <c r="Q10" s="29" t="str">
        <f>L74</f>
        <v/>
      </c>
    </row>
    <row r="11" spans="1:22" ht="15">
      <c r="A11" s="175" t="s">
        <v>5</v>
      </c>
      <c r="B11" s="169" t="s">
        <v>82</v>
      </c>
      <c r="C11" s="170" t="s">
        <v>7</v>
      </c>
      <c r="D11" s="36">
        <v>13073.260539999992</v>
      </c>
      <c r="E11" s="36">
        <v>10242.830799999994</v>
      </c>
      <c r="F11" s="171"/>
      <c r="G11" s="175" t="s">
        <v>5</v>
      </c>
      <c r="H11" s="176" t="s">
        <v>6</v>
      </c>
      <c r="I11" s="172" t="s">
        <v>7</v>
      </c>
      <c r="J11" s="169" t="s">
        <v>82</v>
      </c>
      <c r="K11" s="35">
        <f t="shared" si="2"/>
        <v>13073.260539999992</v>
      </c>
      <c r="L11" s="35">
        <f t="shared" si="3"/>
        <v>10242.830799999994</v>
      </c>
      <c r="M11" s="171"/>
      <c r="N11" s="173" t="s">
        <v>329</v>
      </c>
      <c r="O11" s="87" t="s">
        <v>330</v>
      </c>
      <c r="P11" s="29">
        <f>K44</f>
        <v>164.79340000000002</v>
      </c>
      <c r="Q11" s="29">
        <f>L44</f>
        <v>111.2334</v>
      </c>
    </row>
    <row r="12" spans="1:22" ht="15">
      <c r="A12" s="177" t="s">
        <v>8</v>
      </c>
      <c r="B12" s="169" t="s">
        <v>83</v>
      </c>
      <c r="C12" s="178" t="s">
        <v>9</v>
      </c>
      <c r="D12" s="36">
        <v>2927.211499999999</v>
      </c>
      <c r="E12" s="36">
        <v>2032.4375000000005</v>
      </c>
      <c r="F12" s="171"/>
      <c r="G12" s="175" t="s">
        <v>8</v>
      </c>
      <c r="H12" s="176" t="s">
        <v>140</v>
      </c>
      <c r="I12" s="172" t="s">
        <v>9</v>
      </c>
      <c r="J12" s="169" t="s">
        <v>83</v>
      </c>
      <c r="K12" s="35">
        <f t="shared" si="2"/>
        <v>2927.211499999999</v>
      </c>
      <c r="L12" s="35">
        <f t="shared" si="3"/>
        <v>2032.4375000000005</v>
      </c>
      <c r="M12" s="171"/>
      <c r="N12" s="173" t="s">
        <v>331</v>
      </c>
      <c r="O12" s="87" t="s">
        <v>332</v>
      </c>
      <c r="P12" s="29">
        <f>K46</f>
        <v>16.36</v>
      </c>
      <c r="Q12" s="29">
        <f>L46</f>
        <v>20.475000000000001</v>
      </c>
    </row>
    <row r="13" spans="1:22" ht="15">
      <c r="A13" s="900" t="s">
        <v>10</v>
      </c>
      <c r="B13" s="179" t="s">
        <v>469</v>
      </c>
      <c r="C13" s="180" t="s">
        <v>12</v>
      </c>
      <c r="D13" s="36"/>
      <c r="E13" s="36"/>
      <c r="F13" s="171"/>
      <c r="G13" s="900" t="s">
        <v>10</v>
      </c>
      <c r="H13" s="903" t="s">
        <v>11</v>
      </c>
      <c r="I13" s="172" t="s">
        <v>12</v>
      </c>
      <c r="J13" s="169" t="s">
        <v>84</v>
      </c>
      <c r="K13" s="35" t="str">
        <f t="shared" si="2"/>
        <v/>
      </c>
      <c r="L13" s="35" t="str">
        <f t="shared" si="3"/>
        <v/>
      </c>
      <c r="M13" s="171"/>
      <c r="N13" s="173" t="s">
        <v>333</v>
      </c>
      <c r="O13" s="87" t="s">
        <v>334</v>
      </c>
      <c r="P13" s="29">
        <f>K43</f>
        <v>385.89449999999999</v>
      </c>
      <c r="Q13" s="29">
        <f>L43</f>
        <v>429.09699999999998</v>
      </c>
    </row>
    <row r="14" spans="1:22" ht="15">
      <c r="A14" s="901"/>
      <c r="B14" s="179" t="s">
        <v>470</v>
      </c>
      <c r="C14" s="180" t="s">
        <v>13</v>
      </c>
      <c r="D14" s="36">
        <v>14525.49605</v>
      </c>
      <c r="E14" s="36">
        <v>5777.48</v>
      </c>
      <c r="F14" s="171"/>
      <c r="G14" s="901"/>
      <c r="H14" s="904"/>
      <c r="I14" s="172" t="s">
        <v>13</v>
      </c>
      <c r="J14" s="169" t="s">
        <v>85</v>
      </c>
      <c r="K14" s="35">
        <f t="shared" si="2"/>
        <v>14525.49605</v>
      </c>
      <c r="L14" s="35">
        <f t="shared" si="3"/>
        <v>5777.48</v>
      </c>
      <c r="M14" s="171"/>
      <c r="N14" s="173" t="s">
        <v>335</v>
      </c>
      <c r="O14" s="87" t="s">
        <v>336</v>
      </c>
      <c r="P14" s="29" t="str">
        <f>K9</f>
        <v/>
      </c>
      <c r="Q14" s="29" t="str">
        <f>L9</f>
        <v/>
      </c>
    </row>
    <row r="15" spans="1:22" ht="15">
      <c r="A15" s="901"/>
      <c r="B15" s="179" t="s">
        <v>471</v>
      </c>
      <c r="C15" s="178" t="s">
        <v>14</v>
      </c>
      <c r="D15" s="36">
        <v>314.23714999999999</v>
      </c>
      <c r="E15" s="36">
        <v>887.77650000000017</v>
      </c>
      <c r="F15" s="171"/>
      <c r="G15" s="901"/>
      <c r="H15" s="904"/>
      <c r="I15" s="172" t="s">
        <v>14</v>
      </c>
      <c r="J15" s="169" t="s">
        <v>86</v>
      </c>
      <c r="K15" s="35">
        <f t="shared" si="2"/>
        <v>314.23714999999999</v>
      </c>
      <c r="L15" s="35">
        <f t="shared" si="3"/>
        <v>887.77650000000017</v>
      </c>
      <c r="M15" s="171"/>
      <c r="N15" s="173" t="s">
        <v>337</v>
      </c>
      <c r="O15" s="87" t="s">
        <v>322</v>
      </c>
      <c r="P15" s="29">
        <f t="shared" ref="P15:Q16" si="4">K47</f>
        <v>15080.957614999998</v>
      </c>
      <c r="Q15" s="29">
        <f t="shared" si="4"/>
        <v>15921.85434999996</v>
      </c>
    </row>
    <row r="16" spans="1:22" ht="15">
      <c r="A16" s="901"/>
      <c r="B16" s="179" t="s">
        <v>474</v>
      </c>
      <c r="C16" s="178" t="s">
        <v>15</v>
      </c>
      <c r="D16" s="36">
        <v>95.492000000000004</v>
      </c>
      <c r="E16" s="36">
        <v>51.000500000000002</v>
      </c>
      <c r="F16" s="171"/>
      <c r="G16" s="901"/>
      <c r="H16" s="904"/>
      <c r="I16" s="172" t="s">
        <v>15</v>
      </c>
      <c r="J16" s="169" t="s">
        <v>87</v>
      </c>
      <c r="K16" s="35">
        <f t="shared" si="2"/>
        <v>95.492000000000004</v>
      </c>
      <c r="L16" s="35">
        <f t="shared" si="3"/>
        <v>51.000500000000002</v>
      </c>
      <c r="M16" s="171"/>
      <c r="N16" s="173" t="s">
        <v>338</v>
      </c>
      <c r="O16" s="87" t="s">
        <v>339</v>
      </c>
      <c r="P16" s="29">
        <f t="shared" si="4"/>
        <v>44036.96839999994</v>
      </c>
      <c r="Q16" s="29">
        <f t="shared" si="4"/>
        <v>43727.018069999984</v>
      </c>
    </row>
    <row r="17" spans="1:17" ht="15">
      <c r="A17" s="901"/>
      <c r="B17" s="179" t="s">
        <v>475</v>
      </c>
      <c r="C17" s="178" t="s">
        <v>16</v>
      </c>
      <c r="D17" s="36">
        <v>153.76560000000001</v>
      </c>
      <c r="E17" s="36">
        <v>167.59650000000002</v>
      </c>
      <c r="F17" s="171"/>
      <c r="G17" s="901"/>
      <c r="H17" s="904"/>
      <c r="I17" s="172" t="s">
        <v>16</v>
      </c>
      <c r="J17" s="169" t="s">
        <v>88</v>
      </c>
      <c r="K17" s="35">
        <f t="shared" si="2"/>
        <v>153.76560000000001</v>
      </c>
      <c r="L17" s="35">
        <f t="shared" si="3"/>
        <v>167.59650000000002</v>
      </c>
      <c r="M17" s="171"/>
      <c r="N17" s="173" t="s">
        <v>340</v>
      </c>
      <c r="O17" s="87" t="s">
        <v>341</v>
      </c>
      <c r="P17" s="29">
        <f>K54</f>
        <v>1446.5575000000008</v>
      </c>
      <c r="Q17" s="29">
        <f>L54</f>
        <v>1288.1083200000003</v>
      </c>
    </row>
    <row r="18" spans="1:17" ht="15">
      <c r="A18" s="901"/>
      <c r="B18" s="181" t="s">
        <v>478</v>
      </c>
      <c r="C18" s="178" t="s">
        <v>17</v>
      </c>
      <c r="D18" s="36">
        <v>2.7408000000000001</v>
      </c>
      <c r="E18" s="36">
        <v>3.1874999999999996</v>
      </c>
      <c r="F18" s="171"/>
      <c r="G18" s="901"/>
      <c r="H18" s="904"/>
      <c r="I18" s="172" t="s">
        <v>17</v>
      </c>
      <c r="J18" s="169" t="s">
        <v>89</v>
      </c>
      <c r="K18" s="35">
        <f t="shared" si="2"/>
        <v>2.7408000000000001</v>
      </c>
      <c r="L18" s="35">
        <f t="shared" si="3"/>
        <v>3.1874999999999996</v>
      </c>
      <c r="M18" s="171"/>
      <c r="N18" s="173" t="s">
        <v>342</v>
      </c>
      <c r="O18" s="87" t="s">
        <v>343</v>
      </c>
      <c r="P18" s="29">
        <f>K49</f>
        <v>2197.3755000000001</v>
      </c>
      <c r="Q18" s="29">
        <f>L49</f>
        <v>1919.9825799999996</v>
      </c>
    </row>
    <row r="19" spans="1:17" ht="15">
      <c r="A19" s="901"/>
      <c r="B19" s="181" t="s">
        <v>479</v>
      </c>
      <c r="C19" s="178" t="s">
        <v>18</v>
      </c>
      <c r="D19" s="36">
        <v>5.0000000000000001E-4</v>
      </c>
      <c r="E19" s="36"/>
      <c r="F19" s="171"/>
      <c r="G19" s="901"/>
      <c r="H19" s="904"/>
      <c r="I19" s="172" t="s">
        <v>18</v>
      </c>
      <c r="J19" s="169" t="s">
        <v>90</v>
      </c>
      <c r="K19" s="35">
        <f t="shared" si="2"/>
        <v>5.0000000000000001E-4</v>
      </c>
      <c r="L19" s="35" t="str">
        <f t="shared" si="3"/>
        <v/>
      </c>
      <c r="M19" s="171"/>
      <c r="N19" s="173" t="s">
        <v>344</v>
      </c>
      <c r="O19" s="87" t="s">
        <v>345</v>
      </c>
      <c r="P19" s="29">
        <f t="shared" ref="P19:Q20" si="5">K38</f>
        <v>6166.9520450000018</v>
      </c>
      <c r="Q19" s="29">
        <f t="shared" si="5"/>
        <v>6515.3066689999996</v>
      </c>
    </row>
    <row r="20" spans="1:17" ht="15">
      <c r="A20" s="901"/>
      <c r="B20" s="181" t="s">
        <v>480</v>
      </c>
      <c r="C20" s="178" t="s">
        <v>19</v>
      </c>
      <c r="D20" s="36"/>
      <c r="E20" s="36"/>
      <c r="F20" s="171"/>
      <c r="G20" s="901"/>
      <c r="H20" s="904"/>
      <c r="I20" s="172" t="s">
        <v>19</v>
      </c>
      <c r="J20" s="169" t="s">
        <v>141</v>
      </c>
      <c r="K20" s="35" t="str">
        <f t="shared" si="2"/>
        <v/>
      </c>
      <c r="L20" s="35" t="str">
        <f t="shared" si="3"/>
        <v/>
      </c>
      <c r="M20" s="171"/>
      <c r="N20" s="173" t="s">
        <v>346</v>
      </c>
      <c r="O20" s="87" t="s">
        <v>347</v>
      </c>
      <c r="P20" s="29">
        <f t="shared" si="5"/>
        <v>897.31933100000003</v>
      </c>
      <c r="Q20" s="29">
        <f t="shared" si="5"/>
        <v>1144.9265180000002</v>
      </c>
    </row>
    <row r="21" spans="1:17" ht="15">
      <c r="A21" s="901"/>
      <c r="B21" s="169" t="s">
        <v>143</v>
      </c>
      <c r="C21" s="178" t="s">
        <v>142</v>
      </c>
      <c r="D21" s="36"/>
      <c r="E21" s="36"/>
      <c r="F21" s="171"/>
      <c r="G21" s="901"/>
      <c r="H21" s="904"/>
      <c r="I21" s="172" t="s">
        <v>142</v>
      </c>
      <c r="J21" s="169" t="s">
        <v>143</v>
      </c>
      <c r="K21" s="35" t="str">
        <f t="shared" si="2"/>
        <v/>
      </c>
      <c r="L21" s="35" t="str">
        <f t="shared" si="3"/>
        <v/>
      </c>
      <c r="M21" s="171"/>
      <c r="N21" s="173" t="s">
        <v>348</v>
      </c>
      <c r="O21" s="87" t="s">
        <v>349</v>
      </c>
      <c r="P21" s="29">
        <f>K76</f>
        <v>1121.5008050000013</v>
      </c>
      <c r="Q21" s="29">
        <f>L76</f>
        <v>1855.4925449999994</v>
      </c>
    </row>
    <row r="22" spans="1:17" ht="15">
      <c r="A22" s="901"/>
      <c r="B22" s="181" t="s">
        <v>481</v>
      </c>
      <c r="C22" s="178" t="s">
        <v>20</v>
      </c>
      <c r="D22" s="36">
        <v>7.7198400000000005</v>
      </c>
      <c r="E22" s="36">
        <v>4.6000000000000001E-4</v>
      </c>
      <c r="F22" s="171"/>
      <c r="G22" s="901"/>
      <c r="H22" s="904"/>
      <c r="I22" s="172" t="s">
        <v>20</v>
      </c>
      <c r="J22" s="169" t="s">
        <v>91</v>
      </c>
      <c r="K22" s="35">
        <f t="shared" si="2"/>
        <v>7.7198400000000005</v>
      </c>
      <c r="L22" s="35">
        <f t="shared" si="3"/>
        <v>4.6000000000000001E-4</v>
      </c>
      <c r="M22" s="171"/>
      <c r="N22" s="173" t="s">
        <v>350</v>
      </c>
      <c r="O22" s="87" t="s">
        <v>351</v>
      </c>
      <c r="P22" s="29">
        <f>IF(AND(K34="",K35="",K37="",K79=""),"",SUM(K34:K35,K37,K79))</f>
        <v>27.972249999999999</v>
      </c>
      <c r="Q22" s="29">
        <f>IF(AND(L34="",L35="",L37="",L79=""),"",SUM(L34:L35,L37,L79))</f>
        <v>33.593999999999994</v>
      </c>
    </row>
    <row r="23" spans="1:17">
      <c r="A23" s="901"/>
      <c r="B23" s="181" t="s">
        <v>482</v>
      </c>
      <c r="C23" s="178" t="s">
        <v>21</v>
      </c>
      <c r="D23" s="36">
        <v>10.119999999999999</v>
      </c>
      <c r="E23" s="36"/>
      <c r="F23" s="168"/>
      <c r="G23" s="901"/>
      <c r="H23" s="904"/>
      <c r="I23" s="172" t="s">
        <v>21</v>
      </c>
      <c r="J23" s="169" t="s">
        <v>144</v>
      </c>
      <c r="K23" s="35">
        <f t="shared" si="2"/>
        <v>10.119999999999999</v>
      </c>
      <c r="L23" s="35" t="str">
        <f t="shared" si="3"/>
        <v/>
      </c>
      <c r="M23" s="168"/>
      <c r="N23" s="173" t="s">
        <v>352</v>
      </c>
      <c r="O23" s="87" t="s">
        <v>353</v>
      </c>
      <c r="P23" s="29">
        <f t="shared" ref="P23:Q23" si="6">K77</f>
        <v>77.043499999999995</v>
      </c>
      <c r="Q23" s="29">
        <f t="shared" si="6"/>
        <v>97.485500000000002</v>
      </c>
    </row>
    <row r="24" spans="1:17" ht="15">
      <c r="A24" s="901"/>
      <c r="B24" s="181" t="s">
        <v>483</v>
      </c>
      <c r="C24" s="178" t="s">
        <v>22</v>
      </c>
      <c r="D24" s="36">
        <v>16.669</v>
      </c>
      <c r="E24" s="36">
        <v>1.4665000000000001</v>
      </c>
      <c r="F24" s="171"/>
      <c r="G24" s="901"/>
      <c r="H24" s="904"/>
      <c r="I24" s="172" t="s">
        <v>22</v>
      </c>
      <c r="J24" s="169" t="s">
        <v>92</v>
      </c>
      <c r="K24" s="35">
        <f t="shared" si="2"/>
        <v>16.669</v>
      </c>
      <c r="L24" s="35">
        <f t="shared" si="3"/>
        <v>1.4665000000000001</v>
      </c>
      <c r="M24" s="171"/>
      <c r="N24" s="173" t="s">
        <v>354</v>
      </c>
      <c r="O24" s="87" t="s">
        <v>355</v>
      </c>
      <c r="P24" s="29">
        <f t="shared" ref="P24:Q24" si="7">K8</f>
        <v>1.28</v>
      </c>
      <c r="Q24" s="29" t="str">
        <f t="shared" si="7"/>
        <v/>
      </c>
    </row>
    <row r="25" spans="1:17" ht="15">
      <c r="A25" s="901"/>
      <c r="B25" s="181" t="s">
        <v>484</v>
      </c>
      <c r="C25" s="178" t="s">
        <v>23</v>
      </c>
      <c r="D25" s="36">
        <v>32449.010898999994</v>
      </c>
      <c r="E25" s="36">
        <v>34995.267499999994</v>
      </c>
      <c r="F25" s="171"/>
      <c r="G25" s="901"/>
      <c r="H25" s="904"/>
      <c r="I25" s="172" t="s">
        <v>23</v>
      </c>
      <c r="J25" s="169" t="s">
        <v>93</v>
      </c>
      <c r="K25" s="35">
        <f t="shared" si="2"/>
        <v>32449.010898999994</v>
      </c>
      <c r="L25" s="35">
        <f t="shared" si="3"/>
        <v>34995.267499999994</v>
      </c>
      <c r="M25" s="171"/>
      <c r="N25" s="173" t="s">
        <v>356</v>
      </c>
      <c r="O25" s="87" t="s">
        <v>357</v>
      </c>
      <c r="P25" s="29">
        <f>IF(AND(K67="",K68="",K70="",K72=""),"",SUM(K67:K68,K70,K72))</f>
        <v>16610.639599999999</v>
      </c>
      <c r="Q25" s="29">
        <f>IF(AND(L67="",L68="",L70="",L72=""),"",SUM(L67:L68,L70,L72))</f>
        <v>16905.562740000001</v>
      </c>
    </row>
    <row r="26" spans="1:17" ht="15" customHeight="1">
      <c r="A26" s="901"/>
      <c r="B26" s="181" t="s">
        <v>485</v>
      </c>
      <c r="C26" s="178" t="s">
        <v>24</v>
      </c>
      <c r="D26" s="36">
        <v>522.82799999999997</v>
      </c>
      <c r="E26" s="36">
        <v>159.50200000000001</v>
      </c>
      <c r="F26" s="171"/>
      <c r="G26" s="901"/>
      <c r="H26" s="904"/>
      <c r="I26" s="172" t="s">
        <v>24</v>
      </c>
      <c r="J26" s="169" t="s">
        <v>94</v>
      </c>
      <c r="K26" s="35">
        <f t="shared" si="2"/>
        <v>522.82799999999997</v>
      </c>
      <c r="L26" s="35">
        <f t="shared" si="3"/>
        <v>159.50200000000001</v>
      </c>
      <c r="M26" s="171"/>
      <c r="N26" s="93"/>
      <c r="O26" s="94" t="s">
        <v>407</v>
      </c>
      <c r="P26" s="30"/>
      <c r="Q26" s="31"/>
    </row>
    <row r="27" spans="1:17" ht="15">
      <c r="A27" s="901"/>
      <c r="B27" s="181" t="s">
        <v>486</v>
      </c>
      <c r="C27" s="178" t="s">
        <v>25</v>
      </c>
      <c r="D27" s="36"/>
      <c r="E27" s="36"/>
      <c r="F27" s="171"/>
      <c r="G27" s="901"/>
      <c r="H27" s="904"/>
      <c r="I27" s="172" t="s">
        <v>25</v>
      </c>
      <c r="J27" s="169" t="s">
        <v>145</v>
      </c>
      <c r="K27" s="35" t="str">
        <f t="shared" si="2"/>
        <v/>
      </c>
      <c r="L27" s="35" t="str">
        <f t="shared" si="3"/>
        <v/>
      </c>
      <c r="M27" s="171"/>
      <c r="N27" s="182" t="s">
        <v>358</v>
      </c>
      <c r="O27" s="87" t="s">
        <v>84</v>
      </c>
      <c r="P27" s="29" t="str">
        <f>K13</f>
        <v/>
      </c>
      <c r="Q27" s="29" t="str">
        <f>L13</f>
        <v/>
      </c>
    </row>
    <row r="28" spans="1:17" ht="15">
      <c r="A28" s="901"/>
      <c r="B28" s="169" t="s">
        <v>147</v>
      </c>
      <c r="C28" s="170" t="s">
        <v>146</v>
      </c>
      <c r="D28" s="36"/>
      <c r="E28" s="36"/>
      <c r="F28" s="171"/>
      <c r="G28" s="901"/>
      <c r="H28" s="904"/>
      <c r="I28" s="172" t="s">
        <v>146</v>
      </c>
      <c r="J28" s="169" t="s">
        <v>147</v>
      </c>
      <c r="K28" s="35" t="str">
        <f t="shared" si="2"/>
        <v/>
      </c>
      <c r="L28" s="35" t="str">
        <f t="shared" si="3"/>
        <v/>
      </c>
      <c r="M28" s="171"/>
      <c r="N28" s="182" t="s">
        <v>359</v>
      </c>
      <c r="O28" s="87" t="s">
        <v>90</v>
      </c>
      <c r="P28" s="29">
        <f>K19</f>
        <v>5.0000000000000001E-4</v>
      </c>
      <c r="Q28" s="29" t="str">
        <f>L19</f>
        <v/>
      </c>
    </row>
    <row r="29" spans="1:17" ht="15">
      <c r="A29" s="901"/>
      <c r="B29" s="169" t="s">
        <v>149</v>
      </c>
      <c r="C29" s="170" t="s">
        <v>148</v>
      </c>
      <c r="D29" s="36"/>
      <c r="E29" s="36"/>
      <c r="F29" s="171"/>
      <c r="G29" s="901"/>
      <c r="H29" s="904"/>
      <c r="I29" s="172" t="s">
        <v>148</v>
      </c>
      <c r="J29" s="169" t="s">
        <v>149</v>
      </c>
      <c r="K29" s="35" t="str">
        <f t="shared" si="2"/>
        <v/>
      </c>
      <c r="L29" s="35" t="str">
        <f t="shared" si="3"/>
        <v/>
      </c>
      <c r="M29" s="171"/>
      <c r="N29" s="182" t="s">
        <v>360</v>
      </c>
      <c r="O29" s="87" t="s">
        <v>361</v>
      </c>
      <c r="P29" s="29">
        <f>K17</f>
        <v>153.76560000000001</v>
      </c>
      <c r="Q29" s="29">
        <f>L17</f>
        <v>167.59650000000002</v>
      </c>
    </row>
    <row r="30" spans="1:17" ht="15">
      <c r="A30" s="901"/>
      <c r="B30" s="183" t="s">
        <v>489</v>
      </c>
      <c r="C30" s="178" t="s">
        <v>26</v>
      </c>
      <c r="D30" s="36"/>
      <c r="E30" s="36"/>
      <c r="F30" s="171"/>
      <c r="G30" s="901"/>
      <c r="H30" s="904"/>
      <c r="I30" s="172" t="s">
        <v>26</v>
      </c>
      <c r="J30" s="169" t="s">
        <v>150</v>
      </c>
      <c r="K30" s="35" t="str">
        <f t="shared" si="2"/>
        <v/>
      </c>
      <c r="L30" s="35" t="str">
        <f t="shared" si="3"/>
        <v/>
      </c>
      <c r="M30" s="171"/>
      <c r="N30" s="182" t="s">
        <v>362</v>
      </c>
      <c r="O30" s="87" t="s">
        <v>91</v>
      </c>
      <c r="P30" s="29">
        <f>K22</f>
        <v>7.7198400000000005</v>
      </c>
      <c r="Q30" s="29">
        <f>L22</f>
        <v>4.6000000000000001E-4</v>
      </c>
    </row>
    <row r="31" spans="1:17" ht="15">
      <c r="A31" s="901"/>
      <c r="B31" s="183" t="s">
        <v>95</v>
      </c>
      <c r="C31" s="178" t="s">
        <v>27</v>
      </c>
      <c r="D31" s="36">
        <v>18203.031060000001</v>
      </c>
      <c r="E31" s="36">
        <v>19270.549600000006</v>
      </c>
      <c r="F31" s="171"/>
      <c r="G31" s="901"/>
      <c r="H31" s="904"/>
      <c r="I31" s="172" t="s">
        <v>27</v>
      </c>
      <c r="J31" s="169" t="s">
        <v>95</v>
      </c>
      <c r="K31" s="35">
        <f t="shared" si="2"/>
        <v>18203.031060000001</v>
      </c>
      <c r="L31" s="35">
        <f t="shared" si="3"/>
        <v>19270.549600000006</v>
      </c>
      <c r="M31" s="171"/>
      <c r="N31" s="182" t="s">
        <v>363</v>
      </c>
      <c r="O31" s="87" t="s">
        <v>94</v>
      </c>
      <c r="P31" s="29">
        <f>K26</f>
        <v>522.82799999999997</v>
      </c>
      <c r="Q31" s="29">
        <f>L26</f>
        <v>159.50200000000001</v>
      </c>
    </row>
    <row r="32" spans="1:17" ht="15">
      <c r="A32" s="901"/>
      <c r="B32" s="183" t="s">
        <v>491</v>
      </c>
      <c r="C32" s="178" t="s">
        <v>28</v>
      </c>
      <c r="D32" s="36"/>
      <c r="E32" s="36"/>
      <c r="F32" s="171"/>
      <c r="G32" s="901"/>
      <c r="H32" s="904"/>
      <c r="I32" s="172" t="s">
        <v>28</v>
      </c>
      <c r="J32" s="169" t="s">
        <v>96</v>
      </c>
      <c r="K32" s="35" t="str">
        <f t="shared" si="2"/>
        <v/>
      </c>
      <c r="L32" s="35" t="str">
        <f t="shared" si="3"/>
        <v/>
      </c>
      <c r="M32" s="171"/>
      <c r="N32" s="182" t="s">
        <v>364</v>
      </c>
      <c r="O32" s="87" t="s">
        <v>87</v>
      </c>
      <c r="P32" s="29">
        <f>K16</f>
        <v>95.492000000000004</v>
      </c>
      <c r="Q32" s="29">
        <f>L16</f>
        <v>51.000500000000002</v>
      </c>
    </row>
    <row r="33" spans="1:17" ht="15">
      <c r="A33" s="901"/>
      <c r="B33" s="169" t="s">
        <v>97</v>
      </c>
      <c r="C33" s="178" t="s">
        <v>29</v>
      </c>
      <c r="D33" s="36"/>
      <c r="E33" s="36"/>
      <c r="F33" s="171"/>
      <c r="G33" s="901"/>
      <c r="H33" s="904"/>
      <c r="I33" s="172" t="s">
        <v>29</v>
      </c>
      <c r="J33" s="169" t="s">
        <v>97</v>
      </c>
      <c r="K33" s="35" t="str">
        <f t="shared" si="2"/>
        <v/>
      </c>
      <c r="L33" s="35" t="str">
        <f t="shared" si="3"/>
        <v/>
      </c>
      <c r="M33" s="171"/>
      <c r="N33" s="182" t="s">
        <v>365</v>
      </c>
      <c r="O33" s="87" t="s">
        <v>145</v>
      </c>
      <c r="P33" s="29" t="str">
        <f>K27</f>
        <v/>
      </c>
      <c r="Q33" s="29" t="str">
        <f>L27</f>
        <v/>
      </c>
    </row>
    <row r="34" spans="1:17" ht="15">
      <c r="A34" s="901"/>
      <c r="B34" s="169" t="s">
        <v>98</v>
      </c>
      <c r="C34" s="170" t="s">
        <v>99</v>
      </c>
      <c r="D34" s="36"/>
      <c r="E34" s="36"/>
      <c r="F34" s="171"/>
      <c r="G34" s="901"/>
      <c r="H34" s="904"/>
      <c r="I34" s="172" t="s">
        <v>99</v>
      </c>
      <c r="J34" s="169" t="s">
        <v>98</v>
      </c>
      <c r="K34" s="35" t="str">
        <f t="shared" si="2"/>
        <v/>
      </c>
      <c r="L34" s="35" t="str">
        <f t="shared" si="3"/>
        <v/>
      </c>
      <c r="M34" s="171"/>
      <c r="N34" s="182" t="s">
        <v>366</v>
      </c>
      <c r="O34" s="87" t="s">
        <v>89</v>
      </c>
      <c r="P34" s="29">
        <f>K18</f>
        <v>2.7408000000000001</v>
      </c>
      <c r="Q34" s="29">
        <f>L18</f>
        <v>3.1874999999999996</v>
      </c>
    </row>
    <row r="35" spans="1:17" ht="15">
      <c r="A35" s="901"/>
      <c r="B35" s="169" t="s">
        <v>100</v>
      </c>
      <c r="C35" s="170" t="s">
        <v>101</v>
      </c>
      <c r="D35" s="36"/>
      <c r="E35" s="36"/>
      <c r="F35" s="171"/>
      <c r="G35" s="901"/>
      <c r="H35" s="904"/>
      <c r="I35" s="172" t="s">
        <v>101</v>
      </c>
      <c r="J35" s="169" t="s">
        <v>100</v>
      </c>
      <c r="K35" s="35" t="str">
        <f t="shared" si="2"/>
        <v/>
      </c>
      <c r="L35" s="35" t="str">
        <f t="shared" si="3"/>
        <v/>
      </c>
      <c r="M35" s="171"/>
      <c r="N35" s="182" t="s">
        <v>367</v>
      </c>
      <c r="O35" s="87" t="s">
        <v>141</v>
      </c>
      <c r="P35" s="29" t="str">
        <f>K20</f>
        <v/>
      </c>
      <c r="Q35" s="29" t="str">
        <f>L20</f>
        <v/>
      </c>
    </row>
    <row r="36" spans="1:17" ht="15">
      <c r="A36" s="918"/>
      <c r="B36" s="169" t="s">
        <v>151</v>
      </c>
      <c r="C36" s="170" t="s">
        <v>30</v>
      </c>
      <c r="D36" s="36"/>
      <c r="E36" s="36"/>
      <c r="F36" s="171"/>
      <c r="G36" s="902"/>
      <c r="H36" s="905"/>
      <c r="I36" s="172" t="s">
        <v>30</v>
      </c>
      <c r="J36" s="169" t="s">
        <v>151</v>
      </c>
      <c r="K36" s="35" t="str">
        <f t="shared" si="2"/>
        <v/>
      </c>
      <c r="L36" s="35" t="str">
        <f t="shared" si="3"/>
        <v/>
      </c>
      <c r="M36" s="171"/>
      <c r="N36" s="182" t="s">
        <v>368</v>
      </c>
      <c r="O36" s="87" t="s">
        <v>147</v>
      </c>
      <c r="P36" s="29" t="str">
        <f>K28</f>
        <v/>
      </c>
      <c r="Q36" s="29" t="str">
        <f>L28</f>
        <v/>
      </c>
    </row>
    <row r="37" spans="1:17" ht="15">
      <c r="A37" s="175" t="s">
        <v>31</v>
      </c>
      <c r="B37" s="169" t="s">
        <v>102</v>
      </c>
      <c r="C37" s="170" t="s">
        <v>33</v>
      </c>
      <c r="D37" s="36">
        <v>27.972249999999999</v>
      </c>
      <c r="E37" s="36">
        <v>33.593999999999994</v>
      </c>
      <c r="F37" s="171"/>
      <c r="G37" s="175" t="s">
        <v>31</v>
      </c>
      <c r="H37" s="176" t="s">
        <v>32</v>
      </c>
      <c r="I37" s="172" t="s">
        <v>33</v>
      </c>
      <c r="J37" s="169" t="s">
        <v>102</v>
      </c>
      <c r="K37" s="35">
        <f t="shared" si="2"/>
        <v>27.972249999999999</v>
      </c>
      <c r="L37" s="35">
        <f t="shared" si="3"/>
        <v>33.593999999999994</v>
      </c>
      <c r="M37" s="171"/>
      <c r="N37" s="182" t="s">
        <v>369</v>
      </c>
      <c r="O37" s="87" t="s">
        <v>86</v>
      </c>
      <c r="P37" s="29">
        <f>K15</f>
        <v>314.23714999999999</v>
      </c>
      <c r="Q37" s="29">
        <f>L15</f>
        <v>887.77650000000017</v>
      </c>
    </row>
    <row r="38" spans="1:17" ht="15" customHeight="1">
      <c r="A38" s="900" t="s">
        <v>34</v>
      </c>
      <c r="B38" s="169" t="s">
        <v>103</v>
      </c>
      <c r="C38" s="170" t="s">
        <v>35</v>
      </c>
      <c r="D38" s="36">
        <v>6166.9520450000018</v>
      </c>
      <c r="E38" s="36">
        <v>6515.3066689999996</v>
      </c>
      <c r="F38" s="171"/>
      <c r="G38" s="900" t="s">
        <v>34</v>
      </c>
      <c r="H38" s="903" t="s">
        <v>152</v>
      </c>
      <c r="I38" s="172" t="s">
        <v>35</v>
      </c>
      <c r="J38" s="169" t="s">
        <v>103</v>
      </c>
      <c r="K38" s="35">
        <f t="shared" si="2"/>
        <v>6166.9520450000018</v>
      </c>
      <c r="L38" s="35">
        <f t="shared" si="3"/>
        <v>6515.3066689999996</v>
      </c>
      <c r="M38" s="171"/>
      <c r="N38" s="182" t="s">
        <v>370</v>
      </c>
      <c r="O38" s="87" t="s">
        <v>143</v>
      </c>
      <c r="P38" s="29" t="str">
        <f>K21</f>
        <v/>
      </c>
      <c r="Q38" s="29" t="str">
        <f>L21</f>
        <v/>
      </c>
    </row>
    <row r="39" spans="1:17" ht="15">
      <c r="A39" s="918"/>
      <c r="B39" s="169" t="s">
        <v>104</v>
      </c>
      <c r="C39" s="170" t="s">
        <v>105</v>
      </c>
      <c r="D39" s="36">
        <v>897.31933100000003</v>
      </c>
      <c r="E39" s="36">
        <v>1144.9265180000002</v>
      </c>
      <c r="F39" s="171"/>
      <c r="G39" s="902"/>
      <c r="H39" s="905"/>
      <c r="I39" s="172" t="s">
        <v>105</v>
      </c>
      <c r="J39" s="169" t="s">
        <v>104</v>
      </c>
      <c r="K39" s="35">
        <f t="shared" si="2"/>
        <v>897.31933100000003</v>
      </c>
      <c r="L39" s="35">
        <f t="shared" si="3"/>
        <v>1144.9265180000002</v>
      </c>
      <c r="M39" s="171"/>
      <c r="N39" s="182" t="s">
        <v>371</v>
      </c>
      <c r="O39" s="87" t="s">
        <v>93</v>
      </c>
      <c r="P39" s="29">
        <f>K25</f>
        <v>32449.010898999994</v>
      </c>
      <c r="Q39" s="29">
        <f>L25</f>
        <v>34995.267499999994</v>
      </c>
    </row>
    <row r="40" spans="1:17" ht="15">
      <c r="A40" s="900" t="s">
        <v>37</v>
      </c>
      <c r="B40" s="169" t="s">
        <v>106</v>
      </c>
      <c r="C40" s="170" t="s">
        <v>38</v>
      </c>
      <c r="D40" s="36"/>
      <c r="E40" s="36"/>
      <c r="F40" s="171"/>
      <c r="G40" s="900" t="s">
        <v>37</v>
      </c>
      <c r="H40" s="903" t="s">
        <v>153</v>
      </c>
      <c r="I40" s="172" t="s">
        <v>38</v>
      </c>
      <c r="J40" s="169" t="s">
        <v>106</v>
      </c>
      <c r="K40" s="35" t="str">
        <f t="shared" si="2"/>
        <v/>
      </c>
      <c r="L40" s="35" t="str">
        <f t="shared" si="3"/>
        <v/>
      </c>
      <c r="M40" s="171"/>
      <c r="N40" s="182" t="s">
        <v>372</v>
      </c>
      <c r="O40" s="87" t="s">
        <v>85</v>
      </c>
      <c r="P40" s="29">
        <f>K14</f>
        <v>14525.49605</v>
      </c>
      <c r="Q40" s="29">
        <f>L14</f>
        <v>5777.48</v>
      </c>
    </row>
    <row r="41" spans="1:17" ht="15" customHeight="1">
      <c r="A41" s="901"/>
      <c r="B41" s="169" t="s">
        <v>107</v>
      </c>
      <c r="C41" s="184" t="s">
        <v>39</v>
      </c>
      <c r="D41" s="36">
        <v>4033.833604999998</v>
      </c>
      <c r="E41" s="36">
        <v>1474.757519999999</v>
      </c>
      <c r="F41" s="171"/>
      <c r="G41" s="901"/>
      <c r="H41" s="904"/>
      <c r="I41" s="172" t="s">
        <v>39</v>
      </c>
      <c r="J41" s="169" t="s">
        <v>107</v>
      </c>
      <c r="K41" s="35">
        <f t="shared" si="2"/>
        <v>4033.833604999998</v>
      </c>
      <c r="L41" s="35">
        <f t="shared" si="3"/>
        <v>1474.757519999999</v>
      </c>
      <c r="M41" s="171"/>
      <c r="N41" s="182" t="s">
        <v>373</v>
      </c>
      <c r="O41" s="87" t="s">
        <v>374</v>
      </c>
      <c r="P41" s="29">
        <f t="shared" ref="P41:Q43" si="8">K10</f>
        <v>0.33649999999999997</v>
      </c>
      <c r="Q41" s="29">
        <f t="shared" si="8"/>
        <v>1.5375000000000001</v>
      </c>
    </row>
    <row r="42" spans="1:17" ht="15">
      <c r="A42" s="901"/>
      <c r="B42" s="169" t="s">
        <v>108</v>
      </c>
      <c r="C42" s="170" t="s">
        <v>40</v>
      </c>
      <c r="D42" s="36">
        <v>669.72370000000001</v>
      </c>
      <c r="E42" s="36">
        <v>157.66454999999999</v>
      </c>
      <c r="F42" s="171"/>
      <c r="G42" s="901"/>
      <c r="H42" s="904"/>
      <c r="I42" s="172" t="s">
        <v>40</v>
      </c>
      <c r="J42" s="169" t="s">
        <v>108</v>
      </c>
      <c r="K42" s="35">
        <f t="shared" si="2"/>
        <v>669.72370000000001</v>
      </c>
      <c r="L42" s="35">
        <f t="shared" si="3"/>
        <v>157.66454999999999</v>
      </c>
      <c r="M42" s="171"/>
      <c r="N42" s="182" t="s">
        <v>375</v>
      </c>
      <c r="O42" s="185" t="s">
        <v>82</v>
      </c>
      <c r="P42" s="29">
        <f t="shared" si="8"/>
        <v>13073.260539999992</v>
      </c>
      <c r="Q42" s="29">
        <f t="shared" si="8"/>
        <v>10242.830799999994</v>
      </c>
    </row>
    <row r="43" spans="1:17" ht="15">
      <c r="A43" s="918"/>
      <c r="B43" s="169" t="s">
        <v>109</v>
      </c>
      <c r="C43" s="170" t="s">
        <v>41</v>
      </c>
      <c r="D43" s="36">
        <v>385.89449999999999</v>
      </c>
      <c r="E43" s="36">
        <v>429.09699999999998</v>
      </c>
      <c r="F43" s="171"/>
      <c r="G43" s="902"/>
      <c r="H43" s="905"/>
      <c r="I43" s="172" t="s">
        <v>41</v>
      </c>
      <c r="J43" s="169" t="s">
        <v>109</v>
      </c>
      <c r="K43" s="35">
        <f t="shared" si="2"/>
        <v>385.89449999999999</v>
      </c>
      <c r="L43" s="35">
        <f t="shared" si="3"/>
        <v>429.09699999999998</v>
      </c>
      <c r="M43" s="171"/>
      <c r="N43" s="182" t="s">
        <v>376</v>
      </c>
      <c r="O43" s="185" t="s">
        <v>83</v>
      </c>
      <c r="P43" s="29">
        <f t="shared" si="8"/>
        <v>2927.211499999999</v>
      </c>
      <c r="Q43" s="29">
        <f t="shared" si="8"/>
        <v>2032.4375000000005</v>
      </c>
    </row>
    <row r="44" spans="1:17" ht="15">
      <c r="A44" s="900" t="s">
        <v>42</v>
      </c>
      <c r="B44" s="169" t="s">
        <v>110</v>
      </c>
      <c r="C44" s="184" t="s">
        <v>43</v>
      </c>
      <c r="D44" s="36">
        <v>164.79340000000002</v>
      </c>
      <c r="E44" s="36">
        <v>111.2334</v>
      </c>
      <c r="F44" s="171"/>
      <c r="G44" s="900" t="s">
        <v>42</v>
      </c>
      <c r="H44" s="903" t="s">
        <v>154</v>
      </c>
      <c r="I44" s="172" t="s">
        <v>43</v>
      </c>
      <c r="J44" s="169" t="s">
        <v>110</v>
      </c>
      <c r="K44" s="35">
        <f t="shared" si="2"/>
        <v>164.79340000000002</v>
      </c>
      <c r="L44" s="35">
        <f t="shared" si="3"/>
        <v>111.2334</v>
      </c>
      <c r="M44" s="171"/>
      <c r="N44" s="182" t="s">
        <v>377</v>
      </c>
      <c r="O44" s="185" t="s">
        <v>378</v>
      </c>
      <c r="P44" s="29">
        <f>K71</f>
        <v>210000</v>
      </c>
      <c r="Q44" s="29">
        <f>L71</f>
        <v>210000</v>
      </c>
    </row>
    <row r="45" spans="1:17" ht="15">
      <c r="A45" s="901"/>
      <c r="B45" s="169" t="s">
        <v>111</v>
      </c>
      <c r="C45" s="170" t="s">
        <v>44</v>
      </c>
      <c r="D45" s="36">
        <v>0.74560000000000004</v>
      </c>
      <c r="E45" s="36">
        <v>8.2289999999999992</v>
      </c>
      <c r="F45" s="171"/>
      <c r="G45" s="901"/>
      <c r="H45" s="904"/>
      <c r="I45" s="172" t="s">
        <v>44</v>
      </c>
      <c r="J45" s="169" t="s">
        <v>111</v>
      </c>
      <c r="K45" s="35">
        <f t="shared" si="2"/>
        <v>0.74560000000000004</v>
      </c>
      <c r="L45" s="35">
        <f t="shared" si="3"/>
        <v>8.2289999999999992</v>
      </c>
      <c r="M45" s="171"/>
      <c r="N45" s="182" t="s">
        <v>379</v>
      </c>
      <c r="O45" s="185" t="s">
        <v>176</v>
      </c>
      <c r="P45" s="29">
        <f>K45</f>
        <v>0.74560000000000004</v>
      </c>
      <c r="Q45" s="29">
        <f>L45</f>
        <v>8.2289999999999992</v>
      </c>
    </row>
    <row r="46" spans="1:17" ht="15">
      <c r="A46" s="918"/>
      <c r="B46" s="169" t="s">
        <v>155</v>
      </c>
      <c r="C46" s="170" t="s">
        <v>45</v>
      </c>
      <c r="D46" s="36">
        <v>16.36</v>
      </c>
      <c r="E46" s="36">
        <v>20.475000000000001</v>
      </c>
      <c r="F46" s="171"/>
      <c r="G46" s="902"/>
      <c r="H46" s="905"/>
      <c r="I46" s="172" t="s">
        <v>45</v>
      </c>
      <c r="J46" s="169" t="s">
        <v>155</v>
      </c>
      <c r="K46" s="35">
        <f t="shared" si="2"/>
        <v>16.36</v>
      </c>
      <c r="L46" s="35">
        <f t="shared" si="3"/>
        <v>20.475000000000001</v>
      </c>
      <c r="M46" s="171"/>
      <c r="N46" s="182" t="s">
        <v>380</v>
      </c>
      <c r="O46" s="185" t="s">
        <v>381</v>
      </c>
      <c r="P46" s="29" t="str">
        <f>K59</f>
        <v/>
      </c>
      <c r="Q46" s="29" t="str">
        <f>L59</f>
        <v/>
      </c>
    </row>
    <row r="47" spans="1:17" ht="15">
      <c r="A47" s="900" t="s">
        <v>46</v>
      </c>
      <c r="B47" s="169" t="s">
        <v>112</v>
      </c>
      <c r="C47" s="186" t="s">
        <v>47</v>
      </c>
      <c r="D47" s="36">
        <v>15080.957614999998</v>
      </c>
      <c r="E47" s="36">
        <v>15921.85434999996</v>
      </c>
      <c r="F47" s="171"/>
      <c r="G47" s="900" t="s">
        <v>46</v>
      </c>
      <c r="H47" s="903" t="s">
        <v>156</v>
      </c>
      <c r="I47" s="172" t="s">
        <v>47</v>
      </c>
      <c r="J47" s="169" t="s">
        <v>112</v>
      </c>
      <c r="K47" s="35">
        <f t="shared" si="2"/>
        <v>15080.957614999998</v>
      </c>
      <c r="L47" s="35">
        <f t="shared" si="3"/>
        <v>15921.85434999996</v>
      </c>
      <c r="M47" s="171"/>
      <c r="N47" s="182" t="s">
        <v>382</v>
      </c>
      <c r="O47" s="185" t="s">
        <v>383</v>
      </c>
      <c r="P47" s="29">
        <f>K55</f>
        <v>123.19499999999999</v>
      </c>
      <c r="Q47" s="29">
        <f>L55</f>
        <v>62.536000000000001</v>
      </c>
    </row>
    <row r="48" spans="1:17" ht="15">
      <c r="A48" s="901"/>
      <c r="B48" s="169" t="s">
        <v>157</v>
      </c>
      <c r="C48" s="170" t="s">
        <v>48</v>
      </c>
      <c r="D48" s="36">
        <v>44036.96839999994</v>
      </c>
      <c r="E48" s="36">
        <v>43727.018069999984</v>
      </c>
      <c r="F48" s="171"/>
      <c r="G48" s="901"/>
      <c r="H48" s="904"/>
      <c r="I48" s="172" t="s">
        <v>48</v>
      </c>
      <c r="J48" s="169" t="s">
        <v>157</v>
      </c>
      <c r="K48" s="35">
        <f t="shared" si="2"/>
        <v>44036.96839999994</v>
      </c>
      <c r="L48" s="35">
        <f t="shared" si="3"/>
        <v>43727.018069999984</v>
      </c>
      <c r="M48" s="171"/>
      <c r="N48" s="182" t="s">
        <v>384</v>
      </c>
      <c r="O48" s="185" t="s">
        <v>106</v>
      </c>
      <c r="P48" s="29" t="str">
        <f>K40</f>
        <v/>
      </c>
      <c r="Q48" s="29" t="str">
        <f>L40</f>
        <v/>
      </c>
    </row>
    <row r="49" spans="1:17" ht="15" customHeight="1">
      <c r="A49" s="922"/>
      <c r="B49" s="169" t="s">
        <v>158</v>
      </c>
      <c r="C49" s="170" t="s">
        <v>49</v>
      </c>
      <c r="D49" s="36">
        <v>2197.3755000000001</v>
      </c>
      <c r="E49" s="36">
        <v>1919.9825799999996</v>
      </c>
      <c r="F49" s="171"/>
      <c r="G49" s="902"/>
      <c r="H49" s="905"/>
      <c r="I49" s="172" t="s">
        <v>49</v>
      </c>
      <c r="J49" s="169" t="s">
        <v>158</v>
      </c>
      <c r="K49" s="35">
        <f t="shared" si="2"/>
        <v>2197.3755000000001</v>
      </c>
      <c r="L49" s="35">
        <f t="shared" si="3"/>
        <v>1919.9825799999996</v>
      </c>
      <c r="M49" s="171"/>
      <c r="N49" s="182" t="s">
        <v>385</v>
      </c>
      <c r="O49" s="185" t="s">
        <v>108</v>
      </c>
      <c r="P49" s="29">
        <f>K42</f>
        <v>669.72370000000001</v>
      </c>
      <c r="Q49" s="29">
        <f>L42</f>
        <v>157.66454999999999</v>
      </c>
    </row>
    <row r="50" spans="1:17" ht="15" customHeight="1">
      <c r="A50" s="919" t="s">
        <v>50</v>
      </c>
      <c r="B50" s="169" t="s">
        <v>113</v>
      </c>
      <c r="C50" s="180" t="s">
        <v>51</v>
      </c>
      <c r="D50" s="805"/>
      <c r="E50" s="805"/>
      <c r="F50" s="171"/>
      <c r="G50" s="900" t="s">
        <v>50</v>
      </c>
      <c r="H50" s="903" t="s">
        <v>159</v>
      </c>
      <c r="I50" s="172" t="s">
        <v>51</v>
      </c>
      <c r="J50" s="169" t="s">
        <v>113</v>
      </c>
      <c r="K50" s="32" t="str">
        <f t="shared" si="2"/>
        <v/>
      </c>
      <c r="L50" s="32" t="str">
        <f t="shared" si="3"/>
        <v/>
      </c>
      <c r="M50" s="171"/>
      <c r="N50" s="182" t="s">
        <v>386</v>
      </c>
      <c r="O50" s="185" t="s">
        <v>107</v>
      </c>
      <c r="P50" s="29">
        <f>K41</f>
        <v>4033.833604999998</v>
      </c>
      <c r="Q50" s="29">
        <f>L41</f>
        <v>1474.757519999999</v>
      </c>
    </row>
    <row r="51" spans="1:17" ht="15">
      <c r="A51" s="920"/>
      <c r="B51" s="169" t="s">
        <v>114</v>
      </c>
      <c r="C51" s="180" t="s">
        <v>115</v>
      </c>
      <c r="D51" s="805"/>
      <c r="E51" s="805"/>
      <c r="F51" s="171"/>
      <c r="G51" s="901"/>
      <c r="H51" s="904"/>
      <c r="I51" s="172" t="s">
        <v>115</v>
      </c>
      <c r="J51" s="169" t="s">
        <v>114</v>
      </c>
      <c r="K51" s="32" t="str">
        <f t="shared" si="2"/>
        <v/>
      </c>
      <c r="L51" s="32" t="str">
        <f t="shared" si="3"/>
        <v/>
      </c>
      <c r="M51" s="171"/>
      <c r="N51" s="182" t="s">
        <v>387</v>
      </c>
      <c r="O51" s="185" t="s">
        <v>388</v>
      </c>
      <c r="P51" s="29" t="str">
        <f t="shared" ref="P51:Q52" si="9">K57</f>
        <v/>
      </c>
      <c r="Q51" s="29" t="str">
        <f t="shared" si="9"/>
        <v/>
      </c>
    </row>
    <row r="52" spans="1:17">
      <c r="A52" s="920"/>
      <c r="B52" s="187" t="s">
        <v>620</v>
      </c>
      <c r="C52" s="188" t="s">
        <v>621</v>
      </c>
      <c r="D52" s="119"/>
      <c r="E52" s="119"/>
      <c r="F52" s="168"/>
      <c r="G52" s="901"/>
      <c r="H52" s="904"/>
      <c r="I52" s="172" t="s">
        <v>52</v>
      </c>
      <c r="J52" s="169" t="s">
        <v>116</v>
      </c>
      <c r="K52" s="189" t="str">
        <f>""</f>
        <v/>
      </c>
      <c r="L52" s="189" t="str">
        <f>""</f>
        <v/>
      </c>
      <c r="M52" s="168"/>
      <c r="N52" s="182" t="s">
        <v>389</v>
      </c>
      <c r="O52" s="185" t="s">
        <v>390</v>
      </c>
      <c r="P52" s="29" t="str">
        <f t="shared" si="9"/>
        <v/>
      </c>
      <c r="Q52" s="29" t="str">
        <f t="shared" si="9"/>
        <v/>
      </c>
    </row>
    <row r="53" spans="1:17" ht="15">
      <c r="A53" s="920"/>
      <c r="B53" s="169" t="s">
        <v>116</v>
      </c>
      <c r="C53" s="180" t="s">
        <v>52</v>
      </c>
      <c r="D53" s="806"/>
      <c r="E53" s="806"/>
      <c r="F53" s="171"/>
      <c r="G53" s="902"/>
      <c r="H53" s="905"/>
      <c r="I53" s="172" t="s">
        <v>118</v>
      </c>
      <c r="J53" s="169" t="s">
        <v>117</v>
      </c>
      <c r="K53" s="189" t="str">
        <f>""</f>
        <v/>
      </c>
      <c r="L53" s="189" t="str">
        <f>""</f>
        <v/>
      </c>
      <c r="M53" s="171"/>
      <c r="N53" s="182" t="s">
        <v>391</v>
      </c>
      <c r="O53" s="185" t="s">
        <v>392</v>
      </c>
      <c r="P53" s="29">
        <f>K56</f>
        <v>1.71</v>
      </c>
      <c r="Q53" s="29">
        <f>L56</f>
        <v>0.159</v>
      </c>
    </row>
    <row r="54" spans="1:17" ht="15">
      <c r="A54" s="921"/>
      <c r="B54" s="169" t="s">
        <v>117</v>
      </c>
      <c r="C54" s="180" t="s">
        <v>118</v>
      </c>
      <c r="D54" s="806"/>
      <c r="E54" s="806"/>
      <c r="F54" s="171"/>
      <c r="G54" s="900" t="s">
        <v>53</v>
      </c>
      <c r="H54" s="903" t="s">
        <v>54</v>
      </c>
      <c r="I54" s="172" t="s">
        <v>55</v>
      </c>
      <c r="J54" s="169" t="s">
        <v>160</v>
      </c>
      <c r="K54" s="35">
        <f t="shared" ref="K54:K66" si="10">IF(ISNUMBER(D55),D55,"")</f>
        <v>1446.5575000000008</v>
      </c>
      <c r="L54" s="35">
        <f t="shared" ref="L54:L66" si="11">IF(ISNUMBER(E55),E55,"")</f>
        <v>1288.1083200000003</v>
      </c>
      <c r="M54" s="171"/>
      <c r="N54" s="93"/>
      <c r="O54" s="94" t="s">
        <v>405</v>
      </c>
      <c r="P54" s="30"/>
      <c r="Q54" s="31"/>
    </row>
    <row r="55" spans="1:17" ht="15" customHeight="1">
      <c r="A55" s="900" t="s">
        <v>53</v>
      </c>
      <c r="B55" s="169" t="s">
        <v>160</v>
      </c>
      <c r="C55" s="180" t="s">
        <v>55</v>
      </c>
      <c r="D55" s="36">
        <v>1446.5575000000008</v>
      </c>
      <c r="E55" s="36">
        <v>1288.1083200000003</v>
      </c>
      <c r="F55" s="190"/>
      <c r="G55" s="901"/>
      <c r="H55" s="904"/>
      <c r="I55" s="172" t="s">
        <v>56</v>
      </c>
      <c r="J55" s="169" t="s">
        <v>161</v>
      </c>
      <c r="K55" s="35">
        <f t="shared" si="10"/>
        <v>123.19499999999999</v>
      </c>
      <c r="L55" s="35">
        <f t="shared" si="11"/>
        <v>62.536000000000001</v>
      </c>
      <c r="M55" s="190"/>
      <c r="N55" s="182" t="s">
        <v>393</v>
      </c>
      <c r="O55" s="185" t="s">
        <v>394</v>
      </c>
      <c r="P55" s="32"/>
      <c r="Q55" s="32"/>
    </row>
    <row r="56" spans="1:17" ht="15">
      <c r="A56" s="901"/>
      <c r="B56" s="191" t="s">
        <v>161</v>
      </c>
      <c r="C56" s="180" t="s">
        <v>56</v>
      </c>
      <c r="D56" s="36">
        <v>123.19499999999999</v>
      </c>
      <c r="E56" s="36">
        <v>62.536000000000001</v>
      </c>
      <c r="F56" s="171"/>
      <c r="G56" s="901"/>
      <c r="H56" s="904"/>
      <c r="I56" s="172" t="s">
        <v>57</v>
      </c>
      <c r="J56" s="169" t="s">
        <v>162</v>
      </c>
      <c r="K56" s="35">
        <f t="shared" si="10"/>
        <v>1.71</v>
      </c>
      <c r="L56" s="35">
        <f t="shared" si="11"/>
        <v>0.159</v>
      </c>
      <c r="M56" s="171"/>
      <c r="N56" s="182" t="s">
        <v>395</v>
      </c>
      <c r="O56" s="185" t="s">
        <v>396</v>
      </c>
      <c r="P56" s="32"/>
      <c r="Q56" s="32"/>
    </row>
    <row r="57" spans="1:17" ht="15">
      <c r="A57" s="901"/>
      <c r="B57" s="191" t="s">
        <v>162</v>
      </c>
      <c r="C57" s="180" t="s">
        <v>57</v>
      </c>
      <c r="D57" s="36">
        <v>1.71</v>
      </c>
      <c r="E57" s="36">
        <v>0.159</v>
      </c>
      <c r="F57" s="171"/>
      <c r="G57" s="901"/>
      <c r="H57" s="904"/>
      <c r="I57" s="172" t="s">
        <v>120</v>
      </c>
      <c r="J57" s="169" t="s">
        <v>119</v>
      </c>
      <c r="K57" s="35" t="str">
        <f t="shared" si="10"/>
        <v/>
      </c>
      <c r="L57" s="35" t="str">
        <f t="shared" si="11"/>
        <v/>
      </c>
      <c r="M57" s="171"/>
      <c r="N57" s="100"/>
      <c r="O57" s="101" t="s">
        <v>408</v>
      </c>
      <c r="P57" s="33"/>
      <c r="Q57" s="34"/>
    </row>
    <row r="58" spans="1:17" ht="15">
      <c r="A58" s="901"/>
      <c r="B58" s="191" t="s">
        <v>119</v>
      </c>
      <c r="C58" s="180" t="s">
        <v>120</v>
      </c>
      <c r="D58" s="36"/>
      <c r="E58" s="36"/>
      <c r="F58" s="171"/>
      <c r="G58" s="901"/>
      <c r="H58" s="904"/>
      <c r="I58" s="172" t="s">
        <v>122</v>
      </c>
      <c r="J58" s="169" t="s">
        <v>121</v>
      </c>
      <c r="K58" s="35" t="str">
        <f t="shared" si="10"/>
        <v/>
      </c>
      <c r="L58" s="35" t="str">
        <f t="shared" si="11"/>
        <v/>
      </c>
      <c r="M58" s="171"/>
      <c r="N58" s="175">
        <v>1</v>
      </c>
      <c r="O58" s="169" t="s">
        <v>397</v>
      </c>
      <c r="P58" s="35">
        <f t="shared" ref="P58" si="12">IF(OR(ISNUMBER(K23),ISNUMBER(K24),ISNUMBER(K29),ISNUMBER(K30)),SUM(K23:K24,K29:K30),"")</f>
        <v>26.789000000000001</v>
      </c>
      <c r="Q58" s="35">
        <f>IF(OR(ISNUMBER(L23),ISNUMBER(L24),ISNUMBER(L29),ISNUMBER(L30)),SUM(L23:L24,L29:L30),"")</f>
        <v>1.4665000000000001</v>
      </c>
    </row>
    <row r="59" spans="1:17" ht="15">
      <c r="A59" s="901"/>
      <c r="B59" s="191" t="s">
        <v>121</v>
      </c>
      <c r="C59" s="180" t="s">
        <v>122</v>
      </c>
      <c r="D59" s="36"/>
      <c r="E59" s="36"/>
      <c r="F59" s="171"/>
      <c r="G59" s="901"/>
      <c r="H59" s="904"/>
      <c r="I59" s="172" t="s">
        <v>124</v>
      </c>
      <c r="J59" s="169" t="s">
        <v>123</v>
      </c>
      <c r="K59" s="35" t="str">
        <f t="shared" si="10"/>
        <v/>
      </c>
      <c r="L59" s="35" t="str">
        <f t="shared" si="11"/>
        <v/>
      </c>
      <c r="M59" s="171"/>
      <c r="N59" s="175">
        <v>2</v>
      </c>
      <c r="O59" s="169" t="s">
        <v>398</v>
      </c>
      <c r="P59" s="35">
        <f>IF(OR(ISNUMBER(K31),ISNUMBER(K32),ISNUMBER(K33),ISNUMBER(K36)),SUM(K31:K33,K36),"")</f>
        <v>18203.031060000001</v>
      </c>
      <c r="Q59" s="35">
        <f>IF(OR(ISNUMBER(L31),ISNUMBER(L32),ISNUMBER(L33),ISNUMBER(L36)),SUM(L31:L33,L36),"")</f>
        <v>19270.549600000006</v>
      </c>
    </row>
    <row r="60" spans="1:17" ht="15">
      <c r="A60" s="901"/>
      <c r="B60" s="191" t="s">
        <v>123</v>
      </c>
      <c r="C60" s="180" t="s">
        <v>124</v>
      </c>
      <c r="D60" s="36"/>
      <c r="E60" s="36"/>
      <c r="F60" s="171"/>
      <c r="G60" s="901"/>
      <c r="H60" s="904"/>
      <c r="I60" s="172" t="s">
        <v>58</v>
      </c>
      <c r="J60" s="169" t="s">
        <v>136</v>
      </c>
      <c r="K60" s="35">
        <f t="shared" si="10"/>
        <v>24.8415</v>
      </c>
      <c r="L60" s="35">
        <f t="shared" si="11"/>
        <v>58.156500000000001</v>
      </c>
      <c r="M60" s="171"/>
      <c r="N60" s="175">
        <v>3</v>
      </c>
      <c r="O60" s="169" t="s">
        <v>323</v>
      </c>
      <c r="P60" s="35">
        <f t="shared" ref="P60:Q60" si="13">IF(OR(ISNUMBER(K60),ISNUMBER(K61),ISNUMBER(K62),ISNUMBER(K63)),SUM(K60:K63),"")</f>
        <v>5190.4671500000004</v>
      </c>
      <c r="Q60" s="35">
        <f t="shared" si="13"/>
        <v>5049.6639999999998</v>
      </c>
    </row>
    <row r="61" spans="1:17" ht="15">
      <c r="A61" s="901"/>
      <c r="B61" s="169" t="s">
        <v>136</v>
      </c>
      <c r="C61" s="180" t="s">
        <v>58</v>
      </c>
      <c r="D61" s="36">
        <v>24.8415</v>
      </c>
      <c r="E61" s="36">
        <v>58.156500000000001</v>
      </c>
      <c r="F61" s="171"/>
      <c r="G61" s="901"/>
      <c r="H61" s="904"/>
      <c r="I61" s="172" t="s">
        <v>59</v>
      </c>
      <c r="J61" s="169" t="s">
        <v>125</v>
      </c>
      <c r="K61" s="35" t="str">
        <f t="shared" si="10"/>
        <v/>
      </c>
      <c r="L61" s="35" t="str">
        <f t="shared" si="11"/>
        <v/>
      </c>
      <c r="M61" s="171"/>
      <c r="N61" s="175">
        <v>4</v>
      </c>
      <c r="O61" s="169" t="s">
        <v>159</v>
      </c>
      <c r="P61" s="35" t="str">
        <f>IF(OR(ISNUMBER(K50),ISNUMBER(K51),ISNUMBER(K52),ISNUMBER(K53)),SUM(K50:K53),"")</f>
        <v/>
      </c>
      <c r="Q61" s="35">
        <f>IF(OR(ISNUMBER(L49),ISNUMBER(L50),ISNUMBER(L52),ISNUMBER(L53)),SUM(L49:L53),"")</f>
        <v>1919.9825799999996</v>
      </c>
    </row>
    <row r="62" spans="1:17" ht="31.5" customHeight="1">
      <c r="A62" s="901"/>
      <c r="B62" s="191" t="s">
        <v>125</v>
      </c>
      <c r="C62" s="180" t="s">
        <v>59</v>
      </c>
      <c r="D62" s="36"/>
      <c r="E62" s="36"/>
      <c r="F62" s="171"/>
      <c r="G62" s="901"/>
      <c r="H62" s="904"/>
      <c r="I62" s="172" t="s">
        <v>60</v>
      </c>
      <c r="J62" s="169" t="s">
        <v>163</v>
      </c>
      <c r="K62" s="35">
        <f t="shared" si="10"/>
        <v>5165.62565</v>
      </c>
      <c r="L62" s="35">
        <f t="shared" si="11"/>
        <v>4991.5074999999997</v>
      </c>
      <c r="M62" s="171"/>
      <c r="N62" s="175">
        <v>5</v>
      </c>
      <c r="O62" s="169" t="s">
        <v>399</v>
      </c>
      <c r="P62" s="35">
        <f>K64</f>
        <v>6836.7856680000023</v>
      </c>
      <c r="Q62" s="35">
        <f>L64</f>
        <v>6626.8004310000015</v>
      </c>
    </row>
    <row r="63" spans="1:17" ht="15" customHeight="1">
      <c r="A63" s="901"/>
      <c r="B63" s="169" t="s">
        <v>163</v>
      </c>
      <c r="C63" s="180" t="s">
        <v>60</v>
      </c>
      <c r="D63" s="36">
        <v>5165.62565</v>
      </c>
      <c r="E63" s="36">
        <v>4991.5074999999997</v>
      </c>
      <c r="F63" s="171"/>
      <c r="G63" s="902"/>
      <c r="H63" s="905"/>
      <c r="I63" s="172" t="s">
        <v>61</v>
      </c>
      <c r="J63" s="169" t="s">
        <v>126</v>
      </c>
      <c r="K63" s="35" t="str">
        <f t="shared" si="10"/>
        <v/>
      </c>
      <c r="L63" s="35" t="str">
        <f t="shared" si="11"/>
        <v/>
      </c>
      <c r="M63" s="171"/>
      <c r="N63" s="175">
        <v>6</v>
      </c>
      <c r="O63" s="169" t="s">
        <v>462</v>
      </c>
      <c r="P63" s="35">
        <f t="shared" ref="P63:Q63" si="14">K65</f>
        <v>171100</v>
      </c>
      <c r="Q63" s="35">
        <f t="shared" si="14"/>
        <v>171100</v>
      </c>
    </row>
    <row r="64" spans="1:17" ht="15">
      <c r="A64" s="918"/>
      <c r="B64" s="191" t="s">
        <v>126</v>
      </c>
      <c r="C64" s="180" t="s">
        <v>61</v>
      </c>
      <c r="D64" s="36"/>
      <c r="E64" s="36"/>
      <c r="F64" s="171"/>
      <c r="G64" s="900" t="s">
        <v>62</v>
      </c>
      <c r="H64" s="903" t="s">
        <v>164</v>
      </c>
      <c r="I64" s="172" t="s">
        <v>63</v>
      </c>
      <c r="J64" s="169" t="s">
        <v>165</v>
      </c>
      <c r="K64" s="35">
        <f t="shared" si="10"/>
        <v>6836.7856680000023</v>
      </c>
      <c r="L64" s="35">
        <f t="shared" si="11"/>
        <v>6626.8004310000015</v>
      </c>
      <c r="M64" s="171"/>
      <c r="N64" s="175">
        <v>7</v>
      </c>
      <c r="O64" s="169" t="s">
        <v>463</v>
      </c>
      <c r="P64" s="35">
        <f>IF(OR(ISNUMBER(K66),ISNUMBER(K69)),SUM(K66,K69),"")</f>
        <v>1217.9100000000001</v>
      </c>
      <c r="Q64" s="35">
        <f>IF(OR(ISNUMBER(L66),ISNUMBER(L69)),SUM(L66,L69),"")</f>
        <v>2219.2037999999998</v>
      </c>
    </row>
    <row r="65" spans="1:17" ht="15">
      <c r="A65" s="900" t="s">
        <v>62</v>
      </c>
      <c r="B65" s="191" t="s">
        <v>665</v>
      </c>
      <c r="C65" s="180" t="s">
        <v>63</v>
      </c>
      <c r="D65" s="36">
        <v>6836.7856680000023</v>
      </c>
      <c r="E65" s="36">
        <v>6626.8004310000015</v>
      </c>
      <c r="F65" s="171"/>
      <c r="G65" s="901"/>
      <c r="H65" s="904"/>
      <c r="I65" s="172" t="s">
        <v>64</v>
      </c>
      <c r="J65" s="169" t="s">
        <v>127</v>
      </c>
      <c r="K65" s="35">
        <f t="shared" si="10"/>
        <v>171100</v>
      </c>
      <c r="L65" s="35">
        <f t="shared" si="11"/>
        <v>171100</v>
      </c>
      <c r="M65" s="171"/>
      <c r="N65" s="175">
        <v>8</v>
      </c>
      <c r="O65" s="169" t="s">
        <v>133</v>
      </c>
      <c r="P65" s="35" t="str">
        <f>K78</f>
        <v/>
      </c>
      <c r="Q65" s="35" t="str">
        <f>L78</f>
        <v/>
      </c>
    </row>
    <row r="66" spans="1:17" ht="15">
      <c r="A66" s="901"/>
      <c r="B66" s="192" t="s">
        <v>667</v>
      </c>
      <c r="C66" s="193" t="s">
        <v>64</v>
      </c>
      <c r="D66" s="36">
        <f>342200/2</f>
        <v>171100</v>
      </c>
      <c r="E66" s="838">
        <f>342200/2</f>
        <v>171100</v>
      </c>
      <c r="F66" s="171"/>
      <c r="G66" s="901"/>
      <c r="H66" s="904"/>
      <c r="I66" s="172" t="s">
        <v>65</v>
      </c>
      <c r="J66" s="169" t="s">
        <v>166</v>
      </c>
      <c r="K66" s="35">
        <f t="shared" si="10"/>
        <v>10.01</v>
      </c>
      <c r="L66" s="35">
        <f t="shared" si="11"/>
        <v>2.1800000000000002</v>
      </c>
      <c r="M66" s="171"/>
    </row>
    <row r="67" spans="1:17">
      <c r="A67" s="901"/>
      <c r="B67" s="191" t="s">
        <v>166</v>
      </c>
      <c r="C67" s="194" t="s">
        <v>65</v>
      </c>
      <c r="D67" s="36">
        <v>10.01</v>
      </c>
      <c r="E67" s="36">
        <v>2.1800000000000002</v>
      </c>
      <c r="F67" s="168"/>
      <c r="G67" s="901"/>
      <c r="H67" s="904"/>
      <c r="I67" s="172" t="s">
        <v>66</v>
      </c>
      <c r="J67" s="169" t="s">
        <v>173</v>
      </c>
      <c r="K67" s="35" t="str">
        <f t="shared" ref="K67:K79" si="15">IF(ISNUMBER(D68),D68,"")</f>
        <v/>
      </c>
      <c r="L67" s="35" t="str">
        <f t="shared" ref="L67:L79" si="16">IF(ISNUMBER(E68),E68,"")</f>
        <v/>
      </c>
      <c r="M67" s="168"/>
    </row>
    <row r="68" spans="1:17" ht="15">
      <c r="A68" s="901"/>
      <c r="B68" s="187" t="s">
        <v>571</v>
      </c>
      <c r="C68" s="194" t="s">
        <v>66</v>
      </c>
      <c r="D68" s="36"/>
      <c r="E68" s="36"/>
      <c r="F68" s="171"/>
      <c r="G68" s="901"/>
      <c r="H68" s="904"/>
      <c r="I68" s="172" t="s">
        <v>67</v>
      </c>
      <c r="J68" s="169" t="s">
        <v>174</v>
      </c>
      <c r="K68" s="35">
        <f t="shared" si="15"/>
        <v>3813.29088</v>
      </c>
      <c r="L68" s="35">
        <f t="shared" si="16"/>
        <v>2835.12</v>
      </c>
      <c r="M68" s="171"/>
    </row>
    <row r="69" spans="1:17" ht="15">
      <c r="A69" s="901"/>
      <c r="B69" s="191" t="s">
        <v>174</v>
      </c>
      <c r="C69" s="180" t="s">
        <v>67</v>
      </c>
      <c r="D69" s="36">
        <v>3813.29088</v>
      </c>
      <c r="E69" s="36">
        <v>2835.12</v>
      </c>
      <c r="F69" s="171"/>
      <c r="G69" s="901"/>
      <c r="H69" s="904"/>
      <c r="I69" s="172" t="s">
        <v>68</v>
      </c>
      <c r="J69" s="169" t="s">
        <v>175</v>
      </c>
      <c r="K69" s="35">
        <f t="shared" si="15"/>
        <v>1207.9000000000001</v>
      </c>
      <c r="L69" s="35">
        <f t="shared" si="16"/>
        <v>2217.0237999999999</v>
      </c>
      <c r="M69" s="171"/>
    </row>
    <row r="70" spans="1:17" ht="15">
      <c r="A70" s="901"/>
      <c r="B70" s="191" t="s">
        <v>419</v>
      </c>
      <c r="C70" s="180" t="s">
        <v>68</v>
      </c>
      <c r="D70" s="36">
        <v>1207.9000000000001</v>
      </c>
      <c r="E70" s="36">
        <v>2217.0237999999999</v>
      </c>
      <c r="F70" s="171"/>
      <c r="G70" s="901"/>
      <c r="H70" s="904"/>
      <c r="I70" s="172" t="s">
        <v>128</v>
      </c>
      <c r="J70" s="169" t="s">
        <v>167</v>
      </c>
      <c r="K70" s="32">
        <f t="shared" si="15"/>
        <v>12797.348719999998</v>
      </c>
      <c r="L70" s="32">
        <f t="shared" si="16"/>
        <v>14070.44274</v>
      </c>
      <c r="M70" s="171"/>
    </row>
    <row r="71" spans="1:17" ht="15">
      <c r="A71" s="901"/>
      <c r="B71" s="191" t="s">
        <v>167</v>
      </c>
      <c r="C71" s="180" t="s">
        <v>128</v>
      </c>
      <c r="D71" s="36">
        <v>12797.348719999998</v>
      </c>
      <c r="E71" s="36">
        <v>14070.44274</v>
      </c>
      <c r="F71" s="171"/>
      <c r="G71" s="901"/>
      <c r="H71" s="904"/>
      <c r="I71" s="172" t="s">
        <v>69</v>
      </c>
      <c r="J71" s="169" t="s">
        <v>129</v>
      </c>
      <c r="K71" s="35">
        <f>IF(ISNUMBER(D72),D72,"")</f>
        <v>210000</v>
      </c>
      <c r="L71" s="35">
        <f t="shared" si="16"/>
        <v>210000</v>
      </c>
      <c r="M71" s="171"/>
    </row>
    <row r="72" spans="1:17" ht="15">
      <c r="A72" s="901"/>
      <c r="B72" s="192" t="s">
        <v>129</v>
      </c>
      <c r="C72" s="193" t="s">
        <v>69</v>
      </c>
      <c r="D72" s="36">
        <f>420000/2</f>
        <v>210000</v>
      </c>
      <c r="E72" s="838">
        <f>420000/2</f>
        <v>210000</v>
      </c>
      <c r="F72" s="171"/>
      <c r="G72" s="902"/>
      <c r="H72" s="905"/>
      <c r="I72" s="172" t="s">
        <v>70</v>
      </c>
      <c r="J72" s="169" t="s">
        <v>168</v>
      </c>
      <c r="K72" s="35" t="str">
        <f t="shared" si="15"/>
        <v/>
      </c>
      <c r="L72" s="35" t="str">
        <f t="shared" si="16"/>
        <v/>
      </c>
      <c r="M72" s="171"/>
    </row>
    <row r="73" spans="1:17" ht="15" customHeight="1">
      <c r="A73" s="918"/>
      <c r="B73" s="191" t="s">
        <v>168</v>
      </c>
      <c r="C73" s="178" t="s">
        <v>70</v>
      </c>
      <c r="D73" s="36"/>
      <c r="E73" s="36"/>
      <c r="F73" s="171"/>
      <c r="G73" s="900" t="s">
        <v>71</v>
      </c>
      <c r="H73" s="903" t="s">
        <v>169</v>
      </c>
      <c r="I73" s="172" t="s">
        <v>72</v>
      </c>
      <c r="J73" s="169" t="s">
        <v>170</v>
      </c>
      <c r="K73" s="32" t="str">
        <f t="shared" si="15"/>
        <v/>
      </c>
      <c r="L73" s="32" t="str">
        <f t="shared" si="16"/>
        <v/>
      </c>
      <c r="M73" s="171"/>
    </row>
    <row r="74" spans="1:17">
      <c r="A74" s="900" t="s">
        <v>71</v>
      </c>
      <c r="B74" s="191" t="s">
        <v>170</v>
      </c>
      <c r="C74" s="184" t="s">
        <v>72</v>
      </c>
      <c r="D74" s="805"/>
      <c r="E74" s="805"/>
      <c r="F74" s="168"/>
      <c r="G74" s="901"/>
      <c r="H74" s="904"/>
      <c r="I74" s="172" t="s">
        <v>73</v>
      </c>
      <c r="J74" s="169" t="s">
        <v>130</v>
      </c>
      <c r="K74" s="32" t="str">
        <f t="shared" si="15"/>
        <v/>
      </c>
      <c r="L74" s="32" t="str">
        <f t="shared" si="16"/>
        <v/>
      </c>
      <c r="M74" s="168"/>
    </row>
    <row r="75" spans="1:17" ht="15" customHeight="1">
      <c r="A75" s="901"/>
      <c r="B75" s="191" t="s">
        <v>130</v>
      </c>
      <c r="C75" s="184" t="s">
        <v>73</v>
      </c>
      <c r="D75" s="805"/>
      <c r="E75" s="805"/>
      <c r="F75" s="171"/>
      <c r="G75" s="902"/>
      <c r="H75" s="905"/>
      <c r="I75" s="172" t="s">
        <v>74</v>
      </c>
      <c r="J75" s="169" t="s">
        <v>131</v>
      </c>
      <c r="K75" s="35">
        <f t="shared" si="15"/>
        <v>103.61464999999998</v>
      </c>
      <c r="L75" s="35">
        <f t="shared" si="16"/>
        <v>300.91700000000003</v>
      </c>
      <c r="M75" s="171"/>
    </row>
    <row r="76" spans="1:17" ht="15">
      <c r="A76" s="918"/>
      <c r="B76" s="191" t="s">
        <v>131</v>
      </c>
      <c r="C76" s="184" t="s">
        <v>74</v>
      </c>
      <c r="D76" s="36">
        <v>103.61464999999998</v>
      </c>
      <c r="E76" s="36">
        <v>300.91700000000003</v>
      </c>
      <c r="F76" s="171"/>
      <c r="G76" s="900" t="s">
        <v>75</v>
      </c>
      <c r="H76" s="903" t="s">
        <v>76</v>
      </c>
      <c r="I76" s="172" t="s">
        <v>77</v>
      </c>
      <c r="J76" s="169" t="s">
        <v>171</v>
      </c>
      <c r="K76" s="35">
        <f t="shared" si="15"/>
        <v>1121.5008050000013</v>
      </c>
      <c r="L76" s="35">
        <f t="shared" si="16"/>
        <v>1855.4925449999994</v>
      </c>
      <c r="M76" s="171"/>
    </row>
    <row r="77" spans="1:17" ht="15">
      <c r="A77" s="900" t="s">
        <v>75</v>
      </c>
      <c r="B77" s="191" t="s">
        <v>171</v>
      </c>
      <c r="C77" s="180" t="s">
        <v>77</v>
      </c>
      <c r="D77" s="36">
        <v>1121.5008050000013</v>
      </c>
      <c r="E77" s="36">
        <v>1855.4925449999994</v>
      </c>
      <c r="F77" s="171"/>
      <c r="G77" s="901"/>
      <c r="H77" s="904"/>
      <c r="I77" s="172" t="s">
        <v>78</v>
      </c>
      <c r="J77" s="169" t="s">
        <v>132</v>
      </c>
      <c r="K77" s="35">
        <f t="shared" si="15"/>
        <v>77.043499999999995</v>
      </c>
      <c r="L77" s="35">
        <f t="shared" si="16"/>
        <v>97.485500000000002</v>
      </c>
      <c r="M77" s="171"/>
    </row>
    <row r="78" spans="1:17" ht="15">
      <c r="A78" s="901"/>
      <c r="B78" s="191" t="s">
        <v>132</v>
      </c>
      <c r="C78" s="180" t="s">
        <v>78</v>
      </c>
      <c r="D78" s="36">
        <v>77.043499999999995</v>
      </c>
      <c r="E78" s="36">
        <v>97.485500000000002</v>
      </c>
      <c r="F78" s="171"/>
      <c r="G78" s="901"/>
      <c r="H78" s="904"/>
      <c r="I78" s="172" t="s">
        <v>134</v>
      </c>
      <c r="J78" s="169" t="s">
        <v>133</v>
      </c>
      <c r="K78" s="32" t="str">
        <f t="shared" si="15"/>
        <v/>
      </c>
      <c r="L78" s="32" t="str">
        <f t="shared" si="16"/>
        <v/>
      </c>
      <c r="M78" s="171"/>
    </row>
    <row r="79" spans="1:17" ht="15">
      <c r="A79" s="901"/>
      <c r="B79" s="191" t="s">
        <v>133</v>
      </c>
      <c r="C79" s="180" t="s">
        <v>134</v>
      </c>
      <c r="D79" s="805"/>
      <c r="E79" s="805"/>
      <c r="F79" s="171"/>
      <c r="G79" s="902"/>
      <c r="H79" s="905"/>
      <c r="I79" s="172" t="s">
        <v>172</v>
      </c>
      <c r="J79" s="169" t="s">
        <v>135</v>
      </c>
      <c r="K79" s="35" t="str">
        <f t="shared" si="15"/>
        <v/>
      </c>
      <c r="L79" s="35" t="str">
        <f t="shared" si="16"/>
        <v/>
      </c>
      <c r="M79" s="171"/>
    </row>
    <row r="80" spans="1:17" ht="15">
      <c r="A80" s="918"/>
      <c r="B80" s="191" t="s">
        <v>135</v>
      </c>
      <c r="C80" s="180" t="s">
        <v>172</v>
      </c>
      <c r="D80" s="36"/>
      <c r="E80" s="36"/>
      <c r="F80" s="171"/>
      <c r="M80" s="171"/>
    </row>
    <row r="81" spans="2:14" s="69" customFormat="1" ht="18.75" customHeight="1">
      <c r="D81" s="109"/>
      <c r="E81" s="110" t="s">
        <v>867</v>
      </c>
      <c r="F81" s="109"/>
      <c r="G81" s="111"/>
      <c r="H81" s="112"/>
      <c r="L81" s="107"/>
      <c r="M81" s="107"/>
      <c r="N81" s="107"/>
    </row>
    <row r="82" spans="2:14" ht="15">
      <c r="E82" s="197"/>
      <c r="F82" s="197"/>
      <c r="L82" s="107"/>
      <c r="M82" s="107"/>
    </row>
    <row r="83" spans="2:14" ht="15">
      <c r="E83" s="197"/>
      <c r="F83" s="197"/>
      <c r="M83" s="171"/>
    </row>
    <row r="84" spans="2:14" ht="18.75">
      <c r="B84" s="198" t="s">
        <v>842</v>
      </c>
      <c r="E84" s="197"/>
      <c r="F84" s="197"/>
      <c r="M84" s="171"/>
    </row>
    <row r="85" spans="2:14" ht="15">
      <c r="B85" s="120" t="s">
        <v>1044</v>
      </c>
      <c r="E85" s="197"/>
      <c r="F85" s="197"/>
      <c r="H85" s="199"/>
      <c r="M85" s="171"/>
    </row>
    <row r="86" spans="2:14" ht="15">
      <c r="B86" s="870" t="s">
        <v>1045</v>
      </c>
      <c r="E86" s="197"/>
      <c r="F86" s="197"/>
      <c r="M86" s="171"/>
    </row>
    <row r="87" spans="2:14" ht="15" customHeight="1">
      <c r="B87" s="870" t="s">
        <v>1046</v>
      </c>
      <c r="D87" s="197"/>
      <c r="E87" s="197"/>
      <c r="F87" s="197"/>
      <c r="M87" s="171"/>
    </row>
    <row r="88" spans="2:14" ht="25.5">
      <c r="B88" s="870" t="s">
        <v>1047</v>
      </c>
      <c r="E88" s="197"/>
      <c r="F88" s="197"/>
    </row>
    <row r="89" spans="2:14" ht="51">
      <c r="B89" s="870" t="s">
        <v>1048</v>
      </c>
      <c r="E89" s="197"/>
      <c r="F89" s="197"/>
    </row>
    <row r="90" spans="2:14" ht="15">
      <c r="B90" s="120"/>
      <c r="E90" s="197"/>
      <c r="F90" s="197"/>
    </row>
    <row r="91" spans="2:14" ht="15">
      <c r="B91" s="120"/>
      <c r="E91" s="197"/>
      <c r="F91" s="197"/>
    </row>
    <row r="92" spans="2:14" ht="15">
      <c r="B92" s="120"/>
      <c r="E92" s="197"/>
      <c r="F92" s="197"/>
    </row>
    <row r="93" spans="2:14" ht="15">
      <c r="B93" s="120"/>
      <c r="E93" s="197"/>
      <c r="F93" s="197"/>
    </row>
    <row r="94" spans="2:14" ht="15">
      <c r="B94" s="122"/>
      <c r="F94" s="197"/>
    </row>
  </sheetData>
  <sheetProtection sheet="1" objects="1" scenarios="1"/>
  <mergeCells count="39">
    <mergeCell ref="A8:A10"/>
    <mergeCell ref="A47:A49"/>
    <mergeCell ref="A44:A46"/>
    <mergeCell ref="A40:A43"/>
    <mergeCell ref="A38:A39"/>
    <mergeCell ref="A13:A36"/>
    <mergeCell ref="A77:A80"/>
    <mergeCell ref="A74:A76"/>
    <mergeCell ref="A65:A73"/>
    <mergeCell ref="A55:A64"/>
    <mergeCell ref="A50:A54"/>
    <mergeCell ref="H8:H10"/>
    <mergeCell ref="H13:H36"/>
    <mergeCell ref="H38:H39"/>
    <mergeCell ref="H40:H43"/>
    <mergeCell ref="H44:H46"/>
    <mergeCell ref="P6:Q6"/>
    <mergeCell ref="A6:C6"/>
    <mergeCell ref="D6:E6"/>
    <mergeCell ref="G6:J6"/>
    <mergeCell ref="K6:L6"/>
    <mergeCell ref="N6:O6"/>
    <mergeCell ref="G8:G10"/>
    <mergeCell ref="G13:G36"/>
    <mergeCell ref="G38:G39"/>
    <mergeCell ref="G40:G43"/>
    <mergeCell ref="G44:G46"/>
    <mergeCell ref="G76:G79"/>
    <mergeCell ref="H50:H53"/>
    <mergeCell ref="G47:G49"/>
    <mergeCell ref="G50:G53"/>
    <mergeCell ref="G54:G63"/>
    <mergeCell ref="G64:G72"/>
    <mergeCell ref="G73:G75"/>
    <mergeCell ref="H76:H79"/>
    <mergeCell ref="H54:H63"/>
    <mergeCell ref="H64:H72"/>
    <mergeCell ref="H73:H75"/>
    <mergeCell ref="H47:H49"/>
  </mergeCells>
  <conditionalFormatting sqref="C3">
    <cfRule type="expression" dxfId="69" priority="5">
      <formula>ISTEXT(C3)</formula>
    </cfRule>
  </conditionalFormatting>
  <conditionalFormatting sqref="D80:E80 D73:E73 D55:E64 D8:E49 D76:E78">
    <cfRule type="expression" dxfId="68" priority="3">
      <formula>ISNUMBER(D8)</formula>
    </cfRule>
  </conditionalFormatting>
  <conditionalFormatting sqref="D65:E65">
    <cfRule type="expression" dxfId="67" priority="2">
      <formula>ISNUMBER(D65)</formula>
    </cfRule>
  </conditionalFormatting>
  <conditionalFormatting sqref="D66:E72">
    <cfRule type="expression" dxfId="66" priority="1">
      <formula>ISNUMBER(D66)</formula>
    </cfRule>
  </conditionalFormatting>
  <dataValidations count="1">
    <dataValidation type="list" allowBlank="1" showInputMessage="1" showErrorMessage="1" sqref="C3">
      <formula1>"Yes, No"</formula1>
    </dataValidation>
  </dataValidations>
  <hyperlinks>
    <hyperlink ref="B4" location="Instructions_to_users" display="Instructions to users (hyperlink)"/>
  </hyperlinks>
  <pageMargins left="0.25" right="0.25" top="0.75" bottom="0.75" header="0.3" footer="0.3"/>
  <pageSetup paperSize="8" scale="28" orientation="portrait" r:id="rId1"/>
  <legacyDrawing r:id="rId2"/>
</worksheet>
</file>

<file path=xl/worksheets/sheet4.xml><?xml version="1.0" encoding="utf-8"?>
<worksheet xmlns="http://schemas.openxmlformats.org/spreadsheetml/2006/main" xmlns:r="http://schemas.openxmlformats.org/officeDocument/2006/relationships">
  <sheetPr>
    <tabColor rgb="FF00B050"/>
  </sheetPr>
  <dimension ref="A1:X93"/>
  <sheetViews>
    <sheetView zoomScale="80" zoomScaleNormal="80" workbookViewId="0">
      <pane ySplit="7" topLeftCell="A8" activePane="bottomLeft" state="frozen"/>
      <selection activeCell="E62" sqref="E62"/>
      <selection pane="bottomLeft" activeCell="B48" sqref="B48"/>
    </sheetView>
  </sheetViews>
  <sheetFormatPr defaultRowHeight="12.75"/>
  <cols>
    <col min="1" max="1" width="5.7109375" style="196" customWidth="1"/>
    <col min="2" max="2" width="97.5703125" style="196" customWidth="1"/>
    <col min="3" max="3" width="11.28515625" style="196" customWidth="1"/>
    <col min="4" max="4" width="14.28515625" style="232" customWidth="1"/>
    <col min="5" max="5" width="13" style="232" customWidth="1"/>
    <col min="6" max="6" width="9.42578125" style="232" customWidth="1"/>
    <col min="7" max="7" width="7.7109375" style="195" customWidth="1"/>
    <col min="8" max="8" width="20.5703125" style="196" customWidth="1"/>
    <col min="9" max="9" width="9.140625" style="196"/>
    <col min="10" max="10" width="91.5703125" style="196" customWidth="1"/>
    <col min="11" max="11" width="14.28515625" style="196" bestFit="1" customWidth="1"/>
    <col min="12" max="12" width="12.28515625" style="196" customWidth="1"/>
    <col min="13" max="13" width="9.42578125" style="232" customWidth="1"/>
    <col min="14" max="14" width="9.7109375" style="196" bestFit="1" customWidth="1"/>
    <col min="15" max="15" width="70.28515625" style="196" customWidth="1"/>
    <col min="16" max="17" width="13.140625" style="196" bestFit="1" customWidth="1"/>
    <col min="18" max="16384" width="9.140625" style="196"/>
  </cols>
  <sheetData>
    <row r="1" spans="1:24" s="202" customFormat="1" ht="21">
      <c r="A1" s="201" t="s">
        <v>792</v>
      </c>
      <c r="E1" s="203"/>
      <c r="F1" s="203"/>
      <c r="G1" s="203"/>
      <c r="H1" s="203"/>
      <c r="I1" s="203"/>
      <c r="J1" s="204"/>
      <c r="K1" s="205"/>
      <c r="L1" s="205"/>
      <c r="M1" s="205"/>
      <c r="N1" s="204"/>
      <c r="O1" s="205"/>
      <c r="V1" s="203"/>
      <c r="W1" s="206"/>
      <c r="X1" s="206"/>
    </row>
    <row r="2" spans="1:24" s="207" customFormat="1" ht="15">
      <c r="A2" s="47" t="s">
        <v>661</v>
      </c>
      <c r="E2" s="208" t="s">
        <v>400</v>
      </c>
      <c r="F2" s="209"/>
      <c r="G2" s="210" t="s">
        <v>444</v>
      </c>
      <c r="H2" s="130"/>
      <c r="I2" s="53"/>
      <c r="J2" s="211"/>
      <c r="K2" s="55"/>
      <c r="M2" s="53"/>
      <c r="N2" s="211"/>
      <c r="P2" s="56"/>
      <c r="Q2" s="56"/>
      <c r="R2" s="56"/>
      <c r="V2" s="53"/>
    </row>
    <row r="3" spans="1:24" s="207" customFormat="1" ht="18.75">
      <c r="A3" s="212"/>
      <c r="B3" s="213"/>
      <c r="E3" s="214"/>
      <c r="F3" s="215"/>
      <c r="G3" s="210" t="s">
        <v>445</v>
      </c>
      <c r="H3" s="130"/>
      <c r="I3" s="53"/>
      <c r="J3" s="211"/>
      <c r="M3" s="53"/>
      <c r="N3" s="211"/>
      <c r="V3" s="53"/>
    </row>
    <row r="4" spans="1:24" s="207" customFormat="1" ht="15.75">
      <c r="A4" s="212"/>
      <c r="B4" s="61" t="s">
        <v>866</v>
      </c>
      <c r="E4" s="214"/>
      <c r="F4" s="216"/>
      <c r="G4" s="210" t="s">
        <v>851</v>
      </c>
      <c r="H4" s="130"/>
      <c r="I4" s="53"/>
      <c r="J4" s="211"/>
      <c r="M4" s="53"/>
      <c r="N4" s="211"/>
      <c r="P4" s="63"/>
      <c r="Q4" s="63"/>
      <c r="R4" s="63"/>
      <c r="V4" s="53"/>
    </row>
    <row r="5" spans="1:24" s="207" customFormat="1" ht="15.75">
      <c r="A5" s="47"/>
      <c r="B5" s="212"/>
      <c r="C5" s="214"/>
      <c r="D5" s="214"/>
      <c r="E5" s="214"/>
      <c r="G5" s="217"/>
      <c r="H5" s="130"/>
      <c r="I5" s="53"/>
      <c r="J5" s="211"/>
      <c r="M5" s="53"/>
      <c r="N5" s="211"/>
      <c r="P5" s="63"/>
      <c r="Q5" s="63"/>
      <c r="R5" s="63"/>
      <c r="V5" s="53"/>
    </row>
    <row r="6" spans="1:24" ht="18.75" customHeight="1">
      <c r="A6" s="218" t="s">
        <v>660</v>
      </c>
      <c r="B6" s="219"/>
      <c r="C6" s="220"/>
      <c r="D6" s="923"/>
      <c r="E6" s="924"/>
      <c r="F6" s="68"/>
      <c r="G6" s="887" t="s">
        <v>402</v>
      </c>
      <c r="H6" s="925"/>
      <c r="I6" s="925"/>
      <c r="J6" s="914"/>
      <c r="K6" s="889" t="s">
        <v>401</v>
      </c>
      <c r="L6" s="890"/>
      <c r="M6" s="68"/>
      <c r="N6" s="881" t="s">
        <v>403</v>
      </c>
      <c r="O6" s="914"/>
      <c r="P6" s="883" t="s">
        <v>401</v>
      </c>
      <c r="Q6" s="884"/>
    </row>
    <row r="7" spans="1:24" ht="65.25" customHeight="1">
      <c r="A7" s="221" t="s">
        <v>0</v>
      </c>
      <c r="B7" s="222" t="s">
        <v>1</v>
      </c>
      <c r="C7" s="223" t="s">
        <v>2</v>
      </c>
      <c r="D7" s="224" t="s">
        <v>668</v>
      </c>
      <c r="E7" s="224" t="s">
        <v>669</v>
      </c>
      <c r="F7" s="225"/>
      <c r="G7" s="75" t="s">
        <v>781</v>
      </c>
      <c r="H7" s="76" t="s">
        <v>409</v>
      </c>
      <c r="I7" s="77" t="s">
        <v>782</v>
      </c>
      <c r="J7" s="76" t="s">
        <v>404</v>
      </c>
      <c r="K7" s="78" t="s">
        <v>668</v>
      </c>
      <c r="L7" s="78" t="s">
        <v>669</v>
      </c>
      <c r="M7" s="225"/>
      <c r="N7" s="79" t="s">
        <v>0</v>
      </c>
      <c r="O7" s="80" t="s">
        <v>406</v>
      </c>
      <c r="P7" s="81" t="s">
        <v>668</v>
      </c>
      <c r="Q7" s="81" t="s">
        <v>669</v>
      </c>
    </row>
    <row r="8" spans="1:24" ht="15">
      <c r="A8" s="900" t="s">
        <v>3</v>
      </c>
      <c r="B8" s="169" t="s">
        <v>79</v>
      </c>
      <c r="C8" s="172" t="s">
        <v>4</v>
      </c>
      <c r="D8" s="838"/>
      <c r="E8" s="838"/>
      <c r="F8" s="226"/>
      <c r="G8" s="900" t="s">
        <v>3</v>
      </c>
      <c r="H8" s="915" t="s">
        <v>137</v>
      </c>
      <c r="I8" s="172" t="s">
        <v>4</v>
      </c>
      <c r="J8" s="169" t="s">
        <v>79</v>
      </c>
      <c r="K8" s="35" t="str">
        <f>IF(ISNUMBER(D8),D8,"")</f>
        <v/>
      </c>
      <c r="L8" s="35" t="str">
        <f>IF(ISNUMBER(E8),E8,"")</f>
        <v/>
      </c>
      <c r="M8" s="226"/>
      <c r="N8" s="86" t="s">
        <v>324</v>
      </c>
      <c r="O8" s="87" t="s">
        <v>325</v>
      </c>
      <c r="P8" s="29">
        <f>K73</f>
        <v>43.709000000000003</v>
      </c>
      <c r="Q8" s="29">
        <f>L73</f>
        <v>39.729399999999998</v>
      </c>
    </row>
    <row r="9" spans="1:24" ht="15">
      <c r="A9" s="933"/>
      <c r="B9" s="169" t="s">
        <v>139</v>
      </c>
      <c r="C9" s="172" t="s">
        <v>138</v>
      </c>
      <c r="D9" s="838"/>
      <c r="E9" s="838"/>
      <c r="F9" s="226"/>
      <c r="G9" s="901"/>
      <c r="H9" s="916"/>
      <c r="I9" s="172" t="s">
        <v>138</v>
      </c>
      <c r="J9" s="169" t="s">
        <v>139</v>
      </c>
      <c r="K9" s="35" t="str">
        <f t="shared" ref="K9:L53" si="0">IF(ISNUMBER(D9),D9,"")</f>
        <v/>
      </c>
      <c r="L9" s="35" t="str">
        <f t="shared" si="0"/>
        <v/>
      </c>
      <c r="M9" s="226"/>
      <c r="N9" s="86" t="s">
        <v>326</v>
      </c>
      <c r="O9" s="87" t="s">
        <v>327</v>
      </c>
      <c r="P9" s="29" t="str">
        <f>K75</f>
        <v/>
      </c>
      <c r="Q9" s="29" t="str">
        <f>L75</f>
        <v/>
      </c>
    </row>
    <row r="10" spans="1:24" ht="15">
      <c r="A10" s="934"/>
      <c r="B10" s="169" t="s">
        <v>80</v>
      </c>
      <c r="C10" s="172" t="s">
        <v>81</v>
      </c>
      <c r="D10" s="838"/>
      <c r="E10" s="838"/>
      <c r="F10" s="226"/>
      <c r="G10" s="902"/>
      <c r="H10" s="917"/>
      <c r="I10" s="172" t="s">
        <v>81</v>
      </c>
      <c r="J10" s="169" t="s">
        <v>80</v>
      </c>
      <c r="K10" s="35" t="str">
        <f t="shared" si="0"/>
        <v/>
      </c>
      <c r="L10" s="35" t="str">
        <f t="shared" si="0"/>
        <v/>
      </c>
      <c r="M10" s="226"/>
      <c r="N10" s="86" t="s">
        <v>328</v>
      </c>
      <c r="O10" s="87" t="s">
        <v>130</v>
      </c>
      <c r="P10" s="29">
        <f>K74</f>
        <v>11</v>
      </c>
      <c r="Q10" s="29" t="str">
        <f>L74</f>
        <v/>
      </c>
    </row>
    <row r="11" spans="1:24" ht="15">
      <c r="A11" s="172" t="s">
        <v>5</v>
      </c>
      <c r="B11" s="169" t="s">
        <v>82</v>
      </c>
      <c r="C11" s="172" t="s">
        <v>7</v>
      </c>
      <c r="D11" s="838">
        <v>50</v>
      </c>
      <c r="E11" s="838">
        <v>1E-3</v>
      </c>
      <c r="F11" s="226"/>
      <c r="G11" s="175" t="s">
        <v>5</v>
      </c>
      <c r="H11" s="176" t="s">
        <v>6</v>
      </c>
      <c r="I11" s="172" t="s">
        <v>7</v>
      </c>
      <c r="J11" s="169" t="s">
        <v>82</v>
      </c>
      <c r="K11" s="35">
        <f t="shared" si="0"/>
        <v>50</v>
      </c>
      <c r="L11" s="35">
        <f t="shared" si="0"/>
        <v>1E-3</v>
      </c>
      <c r="M11" s="226"/>
      <c r="N11" s="86" t="s">
        <v>329</v>
      </c>
      <c r="O11" s="87" t="s">
        <v>330</v>
      </c>
      <c r="P11" s="29" t="str">
        <f>K44</f>
        <v/>
      </c>
      <c r="Q11" s="29">
        <f>L44</f>
        <v>0.06</v>
      </c>
    </row>
    <row r="12" spans="1:24" ht="15">
      <c r="A12" s="227" t="s">
        <v>8</v>
      </c>
      <c r="B12" s="169" t="s">
        <v>83</v>
      </c>
      <c r="C12" s="172" t="s">
        <v>9</v>
      </c>
      <c r="D12" s="838">
        <v>19.439</v>
      </c>
      <c r="E12" s="838">
        <v>104</v>
      </c>
      <c r="F12" s="226"/>
      <c r="G12" s="175" t="s">
        <v>8</v>
      </c>
      <c r="H12" s="176" t="s">
        <v>140</v>
      </c>
      <c r="I12" s="172" t="s">
        <v>9</v>
      </c>
      <c r="J12" s="169" t="s">
        <v>83</v>
      </c>
      <c r="K12" s="35">
        <f t="shared" si="0"/>
        <v>19.439</v>
      </c>
      <c r="L12" s="35">
        <f t="shared" si="0"/>
        <v>104</v>
      </c>
      <c r="M12" s="226"/>
      <c r="N12" s="86" t="s">
        <v>331</v>
      </c>
      <c r="O12" s="87" t="s">
        <v>332</v>
      </c>
      <c r="P12" s="29" t="str">
        <f>K46</f>
        <v/>
      </c>
      <c r="Q12" s="29" t="str">
        <f>L46</f>
        <v/>
      </c>
    </row>
    <row r="13" spans="1:24" ht="15">
      <c r="A13" s="900" t="s">
        <v>10</v>
      </c>
      <c r="B13" s="169" t="s">
        <v>84</v>
      </c>
      <c r="C13" s="172" t="s">
        <v>12</v>
      </c>
      <c r="D13" s="838"/>
      <c r="E13" s="838"/>
      <c r="F13" s="226"/>
      <c r="G13" s="900" t="s">
        <v>10</v>
      </c>
      <c r="H13" s="903" t="s">
        <v>11</v>
      </c>
      <c r="I13" s="172" t="s">
        <v>12</v>
      </c>
      <c r="J13" s="169" t="s">
        <v>84</v>
      </c>
      <c r="K13" s="35" t="str">
        <f t="shared" si="0"/>
        <v/>
      </c>
      <c r="L13" s="35" t="str">
        <f t="shared" si="0"/>
        <v/>
      </c>
      <c r="M13" s="226"/>
      <c r="N13" s="86" t="s">
        <v>333</v>
      </c>
      <c r="O13" s="87" t="s">
        <v>334</v>
      </c>
      <c r="P13" s="29" t="str">
        <f>K43</f>
        <v/>
      </c>
      <c r="Q13" s="29" t="str">
        <f>L43</f>
        <v/>
      </c>
    </row>
    <row r="14" spans="1:24" ht="15">
      <c r="A14" s="901"/>
      <c r="B14" s="169" t="s">
        <v>85</v>
      </c>
      <c r="C14" s="172" t="s">
        <v>13</v>
      </c>
      <c r="D14" s="838"/>
      <c r="E14" s="838"/>
      <c r="F14" s="226"/>
      <c r="G14" s="901"/>
      <c r="H14" s="904"/>
      <c r="I14" s="172" t="s">
        <v>13</v>
      </c>
      <c r="J14" s="169" t="s">
        <v>85</v>
      </c>
      <c r="K14" s="35" t="str">
        <f t="shared" si="0"/>
        <v/>
      </c>
      <c r="L14" s="35" t="str">
        <f t="shared" si="0"/>
        <v/>
      </c>
      <c r="M14" s="226"/>
      <c r="N14" s="86" t="s">
        <v>335</v>
      </c>
      <c r="O14" s="87" t="s">
        <v>336</v>
      </c>
      <c r="P14" s="29" t="str">
        <f>K9</f>
        <v/>
      </c>
      <c r="Q14" s="29" t="str">
        <f>L9</f>
        <v/>
      </c>
    </row>
    <row r="15" spans="1:24" ht="15">
      <c r="A15" s="901"/>
      <c r="B15" s="169" t="s">
        <v>86</v>
      </c>
      <c r="C15" s="172" t="s">
        <v>14</v>
      </c>
      <c r="D15" s="838">
        <v>4.5</v>
      </c>
      <c r="E15" s="838">
        <v>12</v>
      </c>
      <c r="F15" s="226"/>
      <c r="G15" s="901"/>
      <c r="H15" s="904"/>
      <c r="I15" s="172" t="s">
        <v>14</v>
      </c>
      <c r="J15" s="169" t="s">
        <v>86</v>
      </c>
      <c r="K15" s="35">
        <f t="shared" si="0"/>
        <v>4.5</v>
      </c>
      <c r="L15" s="35">
        <f t="shared" si="0"/>
        <v>12</v>
      </c>
      <c r="M15" s="226"/>
      <c r="N15" s="86" t="s">
        <v>337</v>
      </c>
      <c r="O15" s="87" t="s">
        <v>322</v>
      </c>
      <c r="P15" s="29">
        <f t="shared" ref="P15:Q16" si="1">K47</f>
        <v>2019.6373599999999</v>
      </c>
      <c r="Q15" s="29">
        <f t="shared" si="1"/>
        <v>1203.2172</v>
      </c>
    </row>
    <row r="16" spans="1:24" ht="15">
      <c r="A16" s="901"/>
      <c r="B16" s="169" t="s">
        <v>87</v>
      </c>
      <c r="C16" s="172" t="s">
        <v>15</v>
      </c>
      <c r="D16" s="838"/>
      <c r="E16" s="838"/>
      <c r="F16" s="226"/>
      <c r="G16" s="901"/>
      <c r="H16" s="904"/>
      <c r="I16" s="172" t="s">
        <v>15</v>
      </c>
      <c r="J16" s="169" t="s">
        <v>87</v>
      </c>
      <c r="K16" s="35" t="str">
        <f t="shared" si="0"/>
        <v/>
      </c>
      <c r="L16" s="35" t="str">
        <f t="shared" si="0"/>
        <v/>
      </c>
      <c r="M16" s="226"/>
      <c r="N16" s="86" t="s">
        <v>338</v>
      </c>
      <c r="O16" s="87" t="s">
        <v>339</v>
      </c>
      <c r="P16" s="29">
        <f t="shared" si="1"/>
        <v>1089.405</v>
      </c>
      <c r="Q16" s="29">
        <f t="shared" si="1"/>
        <v>2157.2600000000002</v>
      </c>
    </row>
    <row r="17" spans="1:17" ht="15">
      <c r="A17" s="901"/>
      <c r="B17" s="169" t="s">
        <v>88</v>
      </c>
      <c r="C17" s="172" t="s">
        <v>16</v>
      </c>
      <c r="D17" s="838"/>
      <c r="E17" s="838"/>
      <c r="F17" s="226"/>
      <c r="G17" s="901"/>
      <c r="H17" s="904"/>
      <c r="I17" s="172" t="s">
        <v>16</v>
      </c>
      <c r="J17" s="169" t="s">
        <v>88</v>
      </c>
      <c r="K17" s="35" t="str">
        <f t="shared" si="0"/>
        <v/>
      </c>
      <c r="L17" s="35" t="str">
        <f t="shared" si="0"/>
        <v/>
      </c>
      <c r="M17" s="226"/>
      <c r="N17" s="86" t="s">
        <v>340</v>
      </c>
      <c r="O17" s="87" t="s">
        <v>341</v>
      </c>
      <c r="P17" s="29">
        <f>K54</f>
        <v>4</v>
      </c>
      <c r="Q17" s="29">
        <f>L54</f>
        <v>2.64</v>
      </c>
    </row>
    <row r="18" spans="1:17" ht="15">
      <c r="A18" s="901"/>
      <c r="B18" s="169" t="s">
        <v>89</v>
      </c>
      <c r="C18" s="172" t="s">
        <v>17</v>
      </c>
      <c r="D18" s="838"/>
      <c r="E18" s="838"/>
      <c r="F18" s="226"/>
      <c r="G18" s="901"/>
      <c r="H18" s="904"/>
      <c r="I18" s="172" t="s">
        <v>17</v>
      </c>
      <c r="J18" s="169" t="s">
        <v>89</v>
      </c>
      <c r="K18" s="35" t="str">
        <f t="shared" si="0"/>
        <v/>
      </c>
      <c r="L18" s="35" t="str">
        <f t="shared" si="0"/>
        <v/>
      </c>
      <c r="M18" s="226"/>
      <c r="N18" s="86" t="s">
        <v>342</v>
      </c>
      <c r="O18" s="87" t="s">
        <v>343</v>
      </c>
      <c r="P18" s="29" t="str">
        <f>K49</f>
        <v/>
      </c>
      <c r="Q18" s="29" t="str">
        <f>L49</f>
        <v/>
      </c>
    </row>
    <row r="19" spans="1:17" ht="15">
      <c r="A19" s="901"/>
      <c r="B19" s="169" t="s">
        <v>90</v>
      </c>
      <c r="C19" s="172" t="s">
        <v>18</v>
      </c>
      <c r="D19" s="838"/>
      <c r="E19" s="838"/>
      <c r="F19" s="226"/>
      <c r="G19" s="901"/>
      <c r="H19" s="904"/>
      <c r="I19" s="172" t="s">
        <v>18</v>
      </c>
      <c r="J19" s="169" t="s">
        <v>90</v>
      </c>
      <c r="K19" s="35" t="str">
        <f t="shared" si="0"/>
        <v/>
      </c>
      <c r="L19" s="35" t="str">
        <f t="shared" si="0"/>
        <v/>
      </c>
      <c r="M19" s="226"/>
      <c r="N19" s="86" t="s">
        <v>344</v>
      </c>
      <c r="O19" s="87" t="s">
        <v>345</v>
      </c>
      <c r="P19" s="29">
        <f t="shared" ref="P19:Q20" si="2">K38</f>
        <v>24.811</v>
      </c>
      <c r="Q19" s="29">
        <f t="shared" si="2"/>
        <v>21.690999999999999</v>
      </c>
    </row>
    <row r="20" spans="1:17" ht="15">
      <c r="A20" s="901"/>
      <c r="B20" s="169" t="s">
        <v>141</v>
      </c>
      <c r="C20" s="172" t="s">
        <v>19</v>
      </c>
      <c r="D20" s="838"/>
      <c r="E20" s="838"/>
      <c r="F20" s="226"/>
      <c r="G20" s="901"/>
      <c r="H20" s="904"/>
      <c r="I20" s="172" t="s">
        <v>19</v>
      </c>
      <c r="J20" s="169" t="s">
        <v>141</v>
      </c>
      <c r="K20" s="35" t="str">
        <f t="shared" si="0"/>
        <v/>
      </c>
      <c r="L20" s="35" t="str">
        <f t="shared" si="0"/>
        <v/>
      </c>
      <c r="M20" s="226"/>
      <c r="N20" s="86" t="s">
        <v>346</v>
      </c>
      <c r="O20" s="87" t="s">
        <v>347</v>
      </c>
      <c r="P20" s="29">
        <f t="shared" si="2"/>
        <v>1</v>
      </c>
      <c r="Q20" s="29" t="str">
        <f t="shared" si="2"/>
        <v/>
      </c>
    </row>
    <row r="21" spans="1:17" ht="15">
      <c r="A21" s="901"/>
      <c r="B21" s="169" t="s">
        <v>143</v>
      </c>
      <c r="C21" s="172" t="s">
        <v>142</v>
      </c>
      <c r="D21" s="838"/>
      <c r="E21" s="838"/>
      <c r="F21" s="226"/>
      <c r="G21" s="901"/>
      <c r="H21" s="904"/>
      <c r="I21" s="172" t="s">
        <v>142</v>
      </c>
      <c r="J21" s="169" t="s">
        <v>143</v>
      </c>
      <c r="K21" s="35" t="str">
        <f t="shared" si="0"/>
        <v/>
      </c>
      <c r="L21" s="35" t="str">
        <f t="shared" si="0"/>
        <v/>
      </c>
      <c r="M21" s="226"/>
      <c r="N21" s="86" t="s">
        <v>348</v>
      </c>
      <c r="O21" s="87" t="s">
        <v>349</v>
      </c>
      <c r="P21" s="29">
        <f>K76</f>
        <v>1.35</v>
      </c>
      <c r="Q21" s="29">
        <f>L76</f>
        <v>26.24</v>
      </c>
    </row>
    <row r="22" spans="1:17" ht="15">
      <c r="A22" s="901"/>
      <c r="B22" s="169" t="s">
        <v>91</v>
      </c>
      <c r="C22" s="172" t="s">
        <v>20</v>
      </c>
      <c r="D22" s="838"/>
      <c r="E22" s="838"/>
      <c r="F22" s="226"/>
      <c r="G22" s="901"/>
      <c r="H22" s="904"/>
      <c r="I22" s="172" t="s">
        <v>20</v>
      </c>
      <c r="J22" s="169" t="s">
        <v>91</v>
      </c>
      <c r="K22" s="35" t="str">
        <f t="shared" si="0"/>
        <v/>
      </c>
      <c r="L22" s="35" t="str">
        <f t="shared" si="0"/>
        <v/>
      </c>
      <c r="M22" s="226"/>
      <c r="N22" s="86" t="s">
        <v>350</v>
      </c>
      <c r="O22" s="87" t="s">
        <v>351</v>
      </c>
      <c r="P22" s="29" t="str">
        <f>IF(AND(K34="",K35="",K37="",K79=""),"",SUM(K34:K35,K37,K79))</f>
        <v/>
      </c>
      <c r="Q22" s="29" t="str">
        <f>IF(AND(L34="",L35="",L37="",L79=""),"",SUM(L34:L35,L37,L79))</f>
        <v/>
      </c>
    </row>
    <row r="23" spans="1:17" ht="15">
      <c r="A23" s="901"/>
      <c r="B23" s="169" t="s">
        <v>144</v>
      </c>
      <c r="C23" s="172" t="s">
        <v>21</v>
      </c>
      <c r="D23" s="838"/>
      <c r="E23" s="838"/>
      <c r="F23" s="226"/>
      <c r="G23" s="901"/>
      <c r="H23" s="904"/>
      <c r="I23" s="172" t="s">
        <v>21</v>
      </c>
      <c r="J23" s="169" t="s">
        <v>144</v>
      </c>
      <c r="K23" s="35" t="str">
        <f t="shared" si="0"/>
        <v/>
      </c>
      <c r="L23" s="35" t="str">
        <f t="shared" si="0"/>
        <v/>
      </c>
      <c r="M23" s="226"/>
      <c r="N23" s="86" t="s">
        <v>352</v>
      </c>
      <c r="O23" s="87" t="s">
        <v>353</v>
      </c>
      <c r="P23" s="29" t="str">
        <f t="shared" ref="P23:Q23" si="3">K77</f>
        <v/>
      </c>
      <c r="Q23" s="29" t="str">
        <f t="shared" si="3"/>
        <v/>
      </c>
    </row>
    <row r="24" spans="1:17" ht="15">
      <c r="A24" s="901"/>
      <c r="B24" s="169" t="s">
        <v>92</v>
      </c>
      <c r="C24" s="172" t="s">
        <v>22</v>
      </c>
      <c r="D24" s="838"/>
      <c r="E24" s="838">
        <v>4.92</v>
      </c>
      <c r="F24" s="226"/>
      <c r="G24" s="901"/>
      <c r="H24" s="904"/>
      <c r="I24" s="172" t="s">
        <v>22</v>
      </c>
      <c r="J24" s="169" t="s">
        <v>92</v>
      </c>
      <c r="K24" s="35" t="str">
        <f t="shared" si="0"/>
        <v/>
      </c>
      <c r="L24" s="35">
        <f t="shared" si="0"/>
        <v>4.92</v>
      </c>
      <c r="M24" s="226"/>
      <c r="N24" s="86" t="s">
        <v>354</v>
      </c>
      <c r="O24" s="87" t="s">
        <v>355</v>
      </c>
      <c r="P24" s="29" t="str">
        <f t="shared" ref="P24:Q24" si="4">K8</f>
        <v/>
      </c>
      <c r="Q24" s="29" t="str">
        <f t="shared" si="4"/>
        <v/>
      </c>
    </row>
    <row r="25" spans="1:17" ht="15">
      <c r="A25" s="901"/>
      <c r="B25" s="169" t="s">
        <v>93</v>
      </c>
      <c r="C25" s="172" t="s">
        <v>23</v>
      </c>
      <c r="D25" s="838">
        <v>194</v>
      </c>
      <c r="E25" s="838">
        <v>126.18227</v>
      </c>
      <c r="F25" s="226"/>
      <c r="G25" s="901"/>
      <c r="H25" s="904"/>
      <c r="I25" s="172" t="s">
        <v>23</v>
      </c>
      <c r="J25" s="169" t="s">
        <v>93</v>
      </c>
      <c r="K25" s="35">
        <f t="shared" si="0"/>
        <v>194</v>
      </c>
      <c r="L25" s="35">
        <f t="shared" si="0"/>
        <v>126.18227</v>
      </c>
      <c r="M25" s="226"/>
      <c r="N25" s="86" t="s">
        <v>356</v>
      </c>
      <c r="O25" s="87" t="s">
        <v>357</v>
      </c>
      <c r="P25" s="29" t="str">
        <f>IF(AND(K67="",K68="",K70="",K72=""),"",SUM(K67:K68,K70,K72))</f>
        <v/>
      </c>
      <c r="Q25" s="29">
        <f>IF(AND(L67="",L68="",L70="",L72=""),"",SUM(L67:L68,L70,L72))</f>
        <v>1.8029999999999999</v>
      </c>
    </row>
    <row r="26" spans="1:17" ht="15" customHeight="1">
      <c r="A26" s="901"/>
      <c r="B26" s="169" t="s">
        <v>94</v>
      </c>
      <c r="C26" s="172" t="s">
        <v>24</v>
      </c>
      <c r="D26" s="838"/>
      <c r="E26" s="838"/>
      <c r="F26" s="226"/>
      <c r="G26" s="901"/>
      <c r="H26" s="904"/>
      <c r="I26" s="172" t="s">
        <v>24</v>
      </c>
      <c r="J26" s="169" t="s">
        <v>94</v>
      </c>
      <c r="K26" s="35" t="str">
        <f t="shared" si="0"/>
        <v/>
      </c>
      <c r="L26" s="35" t="str">
        <f t="shared" si="0"/>
        <v/>
      </c>
      <c r="M26" s="226"/>
      <c r="N26" s="93"/>
      <c r="O26" s="94" t="s">
        <v>407</v>
      </c>
      <c r="P26" s="30"/>
      <c r="Q26" s="31"/>
    </row>
    <row r="27" spans="1:17" ht="15">
      <c r="A27" s="901"/>
      <c r="B27" s="169" t="s">
        <v>145</v>
      </c>
      <c r="C27" s="172" t="s">
        <v>25</v>
      </c>
      <c r="D27" s="838"/>
      <c r="E27" s="838"/>
      <c r="F27" s="226"/>
      <c r="G27" s="901"/>
      <c r="H27" s="904"/>
      <c r="I27" s="172" t="s">
        <v>25</v>
      </c>
      <c r="J27" s="169" t="s">
        <v>145</v>
      </c>
      <c r="K27" s="35" t="str">
        <f t="shared" si="0"/>
        <v/>
      </c>
      <c r="L27" s="35" t="str">
        <f t="shared" si="0"/>
        <v/>
      </c>
      <c r="M27" s="226"/>
      <c r="N27" s="86" t="s">
        <v>358</v>
      </c>
      <c r="O27" s="87" t="s">
        <v>84</v>
      </c>
      <c r="P27" s="29" t="str">
        <f>K13</f>
        <v/>
      </c>
      <c r="Q27" s="29" t="str">
        <f>L13</f>
        <v/>
      </c>
    </row>
    <row r="28" spans="1:17" ht="15">
      <c r="A28" s="901"/>
      <c r="B28" s="169" t="s">
        <v>147</v>
      </c>
      <c r="C28" s="172" t="s">
        <v>146</v>
      </c>
      <c r="D28" s="838"/>
      <c r="E28" s="838"/>
      <c r="F28" s="226"/>
      <c r="G28" s="901"/>
      <c r="H28" s="904"/>
      <c r="I28" s="172" t="s">
        <v>146</v>
      </c>
      <c r="J28" s="169" t="s">
        <v>147</v>
      </c>
      <c r="K28" s="35" t="str">
        <f t="shared" si="0"/>
        <v/>
      </c>
      <c r="L28" s="35" t="str">
        <f t="shared" si="0"/>
        <v/>
      </c>
      <c r="M28" s="226"/>
      <c r="N28" s="86" t="s">
        <v>359</v>
      </c>
      <c r="O28" s="87" t="s">
        <v>90</v>
      </c>
      <c r="P28" s="29" t="str">
        <f>K19</f>
        <v/>
      </c>
      <c r="Q28" s="29" t="str">
        <f>L19</f>
        <v/>
      </c>
    </row>
    <row r="29" spans="1:17" ht="15">
      <c r="A29" s="901"/>
      <c r="B29" s="169" t="s">
        <v>149</v>
      </c>
      <c r="C29" s="172" t="s">
        <v>148</v>
      </c>
      <c r="D29" s="838"/>
      <c r="E29" s="838"/>
      <c r="F29" s="226"/>
      <c r="G29" s="901"/>
      <c r="H29" s="904"/>
      <c r="I29" s="172" t="s">
        <v>148</v>
      </c>
      <c r="J29" s="169" t="s">
        <v>149</v>
      </c>
      <c r="K29" s="35" t="str">
        <f t="shared" si="0"/>
        <v/>
      </c>
      <c r="L29" s="35" t="str">
        <f t="shared" si="0"/>
        <v/>
      </c>
      <c r="M29" s="226"/>
      <c r="N29" s="86" t="s">
        <v>360</v>
      </c>
      <c r="O29" s="87" t="s">
        <v>361</v>
      </c>
      <c r="P29" s="29" t="str">
        <f>K17</f>
        <v/>
      </c>
      <c r="Q29" s="29" t="str">
        <f>L17</f>
        <v/>
      </c>
    </row>
    <row r="30" spans="1:17" ht="15">
      <c r="A30" s="901"/>
      <c r="B30" s="169" t="s">
        <v>150</v>
      </c>
      <c r="C30" s="172" t="s">
        <v>26</v>
      </c>
      <c r="D30" s="838"/>
      <c r="E30" s="838"/>
      <c r="F30" s="226"/>
      <c r="G30" s="901"/>
      <c r="H30" s="904"/>
      <c r="I30" s="172" t="s">
        <v>26</v>
      </c>
      <c r="J30" s="169" t="s">
        <v>150</v>
      </c>
      <c r="K30" s="35" t="str">
        <f t="shared" si="0"/>
        <v/>
      </c>
      <c r="L30" s="35" t="str">
        <f t="shared" si="0"/>
        <v/>
      </c>
      <c r="M30" s="226"/>
      <c r="N30" s="86" t="s">
        <v>362</v>
      </c>
      <c r="O30" s="87" t="s">
        <v>91</v>
      </c>
      <c r="P30" s="29" t="str">
        <f>K22</f>
        <v/>
      </c>
      <c r="Q30" s="29" t="str">
        <f>L22</f>
        <v/>
      </c>
    </row>
    <row r="31" spans="1:17" ht="15">
      <c r="A31" s="901"/>
      <c r="B31" s="169" t="s">
        <v>95</v>
      </c>
      <c r="C31" s="172" t="s">
        <v>27</v>
      </c>
      <c r="D31" s="838">
        <v>24</v>
      </c>
      <c r="E31" s="838">
        <v>5.65</v>
      </c>
      <c r="F31" s="226"/>
      <c r="G31" s="901"/>
      <c r="H31" s="904"/>
      <c r="I31" s="172" t="s">
        <v>27</v>
      </c>
      <c r="J31" s="169" t="s">
        <v>95</v>
      </c>
      <c r="K31" s="35">
        <f t="shared" si="0"/>
        <v>24</v>
      </c>
      <c r="L31" s="35">
        <f t="shared" si="0"/>
        <v>5.65</v>
      </c>
      <c r="M31" s="226"/>
      <c r="N31" s="86" t="s">
        <v>363</v>
      </c>
      <c r="O31" s="87" t="s">
        <v>94</v>
      </c>
      <c r="P31" s="29" t="str">
        <f>K26</f>
        <v/>
      </c>
      <c r="Q31" s="29" t="str">
        <f>L26</f>
        <v/>
      </c>
    </row>
    <row r="32" spans="1:17" ht="15">
      <c r="A32" s="901"/>
      <c r="B32" s="169" t="s">
        <v>96</v>
      </c>
      <c r="C32" s="172" t="s">
        <v>28</v>
      </c>
      <c r="D32" s="838"/>
      <c r="E32" s="838"/>
      <c r="F32" s="226"/>
      <c r="G32" s="901"/>
      <c r="H32" s="904"/>
      <c r="I32" s="172" t="s">
        <v>28</v>
      </c>
      <c r="J32" s="169" t="s">
        <v>96</v>
      </c>
      <c r="K32" s="35" t="str">
        <f t="shared" si="0"/>
        <v/>
      </c>
      <c r="L32" s="35" t="str">
        <f t="shared" si="0"/>
        <v/>
      </c>
      <c r="M32" s="226"/>
      <c r="N32" s="86" t="s">
        <v>364</v>
      </c>
      <c r="O32" s="87" t="s">
        <v>87</v>
      </c>
      <c r="P32" s="29" t="str">
        <f>K16</f>
        <v/>
      </c>
      <c r="Q32" s="29" t="str">
        <f>L16</f>
        <v/>
      </c>
    </row>
    <row r="33" spans="1:17" ht="15">
      <c r="A33" s="901"/>
      <c r="B33" s="169" t="s">
        <v>97</v>
      </c>
      <c r="C33" s="172" t="s">
        <v>29</v>
      </c>
      <c r="D33" s="838"/>
      <c r="E33" s="838"/>
      <c r="F33" s="226"/>
      <c r="G33" s="901"/>
      <c r="H33" s="904"/>
      <c r="I33" s="172" t="s">
        <v>29</v>
      </c>
      <c r="J33" s="169" t="s">
        <v>97</v>
      </c>
      <c r="K33" s="35" t="str">
        <f t="shared" si="0"/>
        <v/>
      </c>
      <c r="L33" s="35" t="str">
        <f t="shared" si="0"/>
        <v/>
      </c>
      <c r="M33" s="226"/>
      <c r="N33" s="86" t="s">
        <v>365</v>
      </c>
      <c r="O33" s="87" t="s">
        <v>145</v>
      </c>
      <c r="P33" s="29" t="str">
        <f>K27</f>
        <v/>
      </c>
      <c r="Q33" s="29" t="str">
        <f>L27</f>
        <v/>
      </c>
    </row>
    <row r="34" spans="1:17" ht="15">
      <c r="A34" s="901"/>
      <c r="B34" s="169" t="s">
        <v>98</v>
      </c>
      <c r="C34" s="172" t="s">
        <v>99</v>
      </c>
      <c r="D34" s="838"/>
      <c r="E34" s="838"/>
      <c r="F34" s="226"/>
      <c r="G34" s="901"/>
      <c r="H34" s="904"/>
      <c r="I34" s="172" t="s">
        <v>99</v>
      </c>
      <c r="J34" s="169" t="s">
        <v>98</v>
      </c>
      <c r="K34" s="35" t="str">
        <f t="shared" si="0"/>
        <v/>
      </c>
      <c r="L34" s="35" t="str">
        <f t="shared" si="0"/>
        <v/>
      </c>
      <c r="M34" s="226"/>
      <c r="N34" s="86" t="s">
        <v>366</v>
      </c>
      <c r="O34" s="87" t="s">
        <v>89</v>
      </c>
      <c r="P34" s="29" t="str">
        <f>K18</f>
        <v/>
      </c>
      <c r="Q34" s="29" t="str">
        <f>L18</f>
        <v/>
      </c>
    </row>
    <row r="35" spans="1:17" ht="15">
      <c r="A35" s="901"/>
      <c r="B35" s="169" t="s">
        <v>100</v>
      </c>
      <c r="C35" s="172" t="s">
        <v>101</v>
      </c>
      <c r="D35" s="838"/>
      <c r="E35" s="838"/>
      <c r="F35" s="226"/>
      <c r="G35" s="901"/>
      <c r="H35" s="904"/>
      <c r="I35" s="172" t="s">
        <v>101</v>
      </c>
      <c r="J35" s="169" t="s">
        <v>100</v>
      </c>
      <c r="K35" s="35" t="str">
        <f t="shared" si="0"/>
        <v/>
      </c>
      <c r="L35" s="35" t="str">
        <f t="shared" si="0"/>
        <v/>
      </c>
      <c r="M35" s="226"/>
      <c r="N35" s="86" t="s">
        <v>367</v>
      </c>
      <c r="O35" s="87" t="s">
        <v>141</v>
      </c>
      <c r="P35" s="29" t="str">
        <f>K20</f>
        <v/>
      </c>
      <c r="Q35" s="29" t="str">
        <f>L20</f>
        <v/>
      </c>
    </row>
    <row r="36" spans="1:17" ht="15">
      <c r="A36" s="918"/>
      <c r="B36" s="169" t="s">
        <v>151</v>
      </c>
      <c r="C36" s="172" t="s">
        <v>30</v>
      </c>
      <c r="D36" s="838"/>
      <c r="E36" s="838"/>
      <c r="F36" s="226"/>
      <c r="G36" s="902"/>
      <c r="H36" s="905"/>
      <c r="I36" s="172" t="s">
        <v>30</v>
      </c>
      <c r="J36" s="169" t="s">
        <v>151</v>
      </c>
      <c r="K36" s="35" t="str">
        <f t="shared" si="0"/>
        <v/>
      </c>
      <c r="L36" s="35" t="str">
        <f t="shared" si="0"/>
        <v/>
      </c>
      <c r="M36" s="226"/>
      <c r="N36" s="86" t="s">
        <v>368</v>
      </c>
      <c r="O36" s="87" t="s">
        <v>147</v>
      </c>
      <c r="P36" s="29" t="str">
        <f>K28</f>
        <v/>
      </c>
      <c r="Q36" s="29" t="str">
        <f>L28</f>
        <v/>
      </c>
    </row>
    <row r="37" spans="1:17" ht="15">
      <c r="A37" s="228" t="s">
        <v>31</v>
      </c>
      <c r="B37" s="169" t="s">
        <v>102</v>
      </c>
      <c r="C37" s="172" t="s">
        <v>33</v>
      </c>
      <c r="D37" s="838"/>
      <c r="E37" s="838"/>
      <c r="F37" s="226"/>
      <c r="G37" s="175" t="s">
        <v>31</v>
      </c>
      <c r="H37" s="176" t="s">
        <v>32</v>
      </c>
      <c r="I37" s="172" t="s">
        <v>33</v>
      </c>
      <c r="J37" s="169" t="s">
        <v>102</v>
      </c>
      <c r="K37" s="35" t="str">
        <f t="shared" si="0"/>
        <v/>
      </c>
      <c r="L37" s="35" t="str">
        <f t="shared" si="0"/>
        <v/>
      </c>
      <c r="M37" s="226"/>
      <c r="N37" s="86" t="s">
        <v>369</v>
      </c>
      <c r="O37" s="87" t="s">
        <v>86</v>
      </c>
      <c r="P37" s="29">
        <f>K15</f>
        <v>4.5</v>
      </c>
      <c r="Q37" s="29">
        <f>L15</f>
        <v>12</v>
      </c>
    </row>
    <row r="38" spans="1:17" ht="15" customHeight="1">
      <c r="A38" s="926" t="s">
        <v>34</v>
      </c>
      <c r="B38" s="169" t="s">
        <v>103</v>
      </c>
      <c r="C38" s="172" t="s">
        <v>35</v>
      </c>
      <c r="D38" s="838">
        <v>24.811</v>
      </c>
      <c r="E38" s="838">
        <v>21.690999999999999</v>
      </c>
      <c r="F38" s="226"/>
      <c r="G38" s="900" t="s">
        <v>34</v>
      </c>
      <c r="H38" s="903" t="s">
        <v>152</v>
      </c>
      <c r="I38" s="172" t="s">
        <v>35</v>
      </c>
      <c r="J38" s="169" t="s">
        <v>103</v>
      </c>
      <c r="K38" s="35">
        <f t="shared" si="0"/>
        <v>24.811</v>
      </c>
      <c r="L38" s="35">
        <f t="shared" si="0"/>
        <v>21.690999999999999</v>
      </c>
      <c r="M38" s="226"/>
      <c r="N38" s="86" t="s">
        <v>370</v>
      </c>
      <c r="O38" s="87" t="s">
        <v>143</v>
      </c>
      <c r="P38" s="29" t="str">
        <f>K21</f>
        <v/>
      </c>
      <c r="Q38" s="29" t="str">
        <f>L21</f>
        <v/>
      </c>
    </row>
    <row r="39" spans="1:17" ht="15">
      <c r="A39" s="928"/>
      <c r="B39" s="169" t="s">
        <v>104</v>
      </c>
      <c r="C39" s="172" t="s">
        <v>105</v>
      </c>
      <c r="D39" s="838">
        <v>1</v>
      </c>
      <c r="E39" s="838"/>
      <c r="F39" s="226"/>
      <c r="G39" s="902"/>
      <c r="H39" s="905"/>
      <c r="I39" s="172" t="s">
        <v>105</v>
      </c>
      <c r="J39" s="169" t="s">
        <v>104</v>
      </c>
      <c r="K39" s="35">
        <f t="shared" si="0"/>
        <v>1</v>
      </c>
      <c r="L39" s="35" t="str">
        <f t="shared" si="0"/>
        <v/>
      </c>
      <c r="M39" s="226"/>
      <c r="N39" s="86" t="s">
        <v>371</v>
      </c>
      <c r="O39" s="87" t="s">
        <v>93</v>
      </c>
      <c r="P39" s="29">
        <f>K25</f>
        <v>194</v>
      </c>
      <c r="Q39" s="29">
        <f>L25</f>
        <v>126.18227</v>
      </c>
    </row>
    <row r="40" spans="1:17" ht="15">
      <c r="A40" s="926" t="s">
        <v>37</v>
      </c>
      <c r="B40" s="169" t="s">
        <v>106</v>
      </c>
      <c r="C40" s="172" t="s">
        <v>38</v>
      </c>
      <c r="D40" s="838"/>
      <c r="E40" s="838"/>
      <c r="F40" s="226"/>
      <c r="G40" s="900" t="s">
        <v>37</v>
      </c>
      <c r="H40" s="903" t="s">
        <v>153</v>
      </c>
      <c r="I40" s="172" t="s">
        <v>38</v>
      </c>
      <c r="J40" s="169" t="s">
        <v>106</v>
      </c>
      <c r="K40" s="35" t="str">
        <f t="shared" si="0"/>
        <v/>
      </c>
      <c r="L40" s="35" t="str">
        <f t="shared" si="0"/>
        <v/>
      </c>
      <c r="M40" s="226"/>
      <c r="N40" s="86" t="s">
        <v>372</v>
      </c>
      <c r="O40" s="87" t="s">
        <v>85</v>
      </c>
      <c r="P40" s="29" t="str">
        <f>K14</f>
        <v/>
      </c>
      <c r="Q40" s="29" t="str">
        <f>L14</f>
        <v/>
      </c>
    </row>
    <row r="41" spans="1:17" ht="15">
      <c r="A41" s="927"/>
      <c r="B41" s="169" t="s">
        <v>107</v>
      </c>
      <c r="C41" s="172" t="s">
        <v>39</v>
      </c>
      <c r="D41" s="838"/>
      <c r="E41" s="838"/>
      <c r="F41" s="226"/>
      <c r="G41" s="901"/>
      <c r="H41" s="904"/>
      <c r="I41" s="172" t="s">
        <v>39</v>
      </c>
      <c r="J41" s="169" t="s">
        <v>107</v>
      </c>
      <c r="K41" s="35" t="str">
        <f t="shared" si="0"/>
        <v/>
      </c>
      <c r="L41" s="35" t="str">
        <f t="shared" si="0"/>
        <v/>
      </c>
      <c r="M41" s="226"/>
      <c r="N41" s="86" t="s">
        <v>373</v>
      </c>
      <c r="O41" s="87" t="s">
        <v>374</v>
      </c>
      <c r="P41" s="29" t="str">
        <f t="shared" ref="P41:Q43" si="5">K10</f>
        <v/>
      </c>
      <c r="Q41" s="29" t="str">
        <f t="shared" si="5"/>
        <v/>
      </c>
    </row>
    <row r="42" spans="1:17" ht="15">
      <c r="A42" s="927"/>
      <c r="B42" s="169" t="s">
        <v>108</v>
      </c>
      <c r="C42" s="172" t="s">
        <v>40</v>
      </c>
      <c r="D42" s="838"/>
      <c r="E42" s="838"/>
      <c r="F42" s="226"/>
      <c r="G42" s="901"/>
      <c r="H42" s="904"/>
      <c r="I42" s="172" t="s">
        <v>40</v>
      </c>
      <c r="J42" s="169" t="s">
        <v>108</v>
      </c>
      <c r="K42" s="35" t="str">
        <f t="shared" si="0"/>
        <v/>
      </c>
      <c r="L42" s="35" t="str">
        <f t="shared" si="0"/>
        <v/>
      </c>
      <c r="M42" s="226"/>
      <c r="N42" s="86" t="s">
        <v>375</v>
      </c>
      <c r="O42" s="87" t="s">
        <v>82</v>
      </c>
      <c r="P42" s="29">
        <f t="shared" si="5"/>
        <v>50</v>
      </c>
      <c r="Q42" s="29">
        <f t="shared" si="5"/>
        <v>1E-3</v>
      </c>
    </row>
    <row r="43" spans="1:17" ht="15">
      <c r="A43" s="928"/>
      <c r="B43" s="169" t="s">
        <v>109</v>
      </c>
      <c r="C43" s="172" t="s">
        <v>41</v>
      </c>
      <c r="D43" s="838"/>
      <c r="E43" s="838"/>
      <c r="F43" s="226"/>
      <c r="G43" s="902"/>
      <c r="H43" s="905"/>
      <c r="I43" s="172" t="s">
        <v>41</v>
      </c>
      <c r="J43" s="169" t="s">
        <v>109</v>
      </c>
      <c r="K43" s="35" t="str">
        <f t="shared" si="0"/>
        <v/>
      </c>
      <c r="L43" s="35" t="str">
        <f t="shared" si="0"/>
        <v/>
      </c>
      <c r="M43" s="226"/>
      <c r="N43" s="86" t="s">
        <v>376</v>
      </c>
      <c r="O43" s="87" t="s">
        <v>83</v>
      </c>
      <c r="P43" s="29">
        <f t="shared" si="5"/>
        <v>19.439</v>
      </c>
      <c r="Q43" s="29">
        <f t="shared" si="5"/>
        <v>104</v>
      </c>
    </row>
    <row r="44" spans="1:17" ht="15">
      <c r="A44" s="926" t="s">
        <v>42</v>
      </c>
      <c r="B44" s="169" t="s">
        <v>110</v>
      </c>
      <c r="C44" s="172" t="s">
        <v>43</v>
      </c>
      <c r="D44" s="838"/>
      <c r="E44" s="838">
        <v>0.06</v>
      </c>
      <c r="F44" s="226"/>
      <c r="G44" s="900" t="s">
        <v>42</v>
      </c>
      <c r="H44" s="903" t="s">
        <v>154</v>
      </c>
      <c r="I44" s="172" t="s">
        <v>43</v>
      </c>
      <c r="J44" s="169" t="s">
        <v>110</v>
      </c>
      <c r="K44" s="35" t="str">
        <f t="shared" si="0"/>
        <v/>
      </c>
      <c r="L44" s="35">
        <f t="shared" si="0"/>
        <v>0.06</v>
      </c>
      <c r="M44" s="226"/>
      <c r="N44" s="86" t="s">
        <v>377</v>
      </c>
      <c r="O44" s="87" t="s">
        <v>378</v>
      </c>
      <c r="P44" s="29" t="str">
        <f>K71</f>
        <v/>
      </c>
      <c r="Q44" s="29" t="str">
        <f>L71</f>
        <v/>
      </c>
    </row>
    <row r="45" spans="1:17" ht="15">
      <c r="A45" s="927"/>
      <c r="B45" s="169" t="s">
        <v>111</v>
      </c>
      <c r="C45" s="172" t="s">
        <v>44</v>
      </c>
      <c r="D45" s="838"/>
      <c r="E45" s="838"/>
      <c r="F45" s="226"/>
      <c r="G45" s="901"/>
      <c r="H45" s="904"/>
      <c r="I45" s="172" t="s">
        <v>44</v>
      </c>
      <c r="J45" s="169" t="s">
        <v>111</v>
      </c>
      <c r="K45" s="35" t="str">
        <f t="shared" si="0"/>
        <v/>
      </c>
      <c r="L45" s="35" t="str">
        <f t="shared" si="0"/>
        <v/>
      </c>
      <c r="M45" s="226"/>
      <c r="N45" s="86" t="s">
        <v>379</v>
      </c>
      <c r="O45" s="87" t="s">
        <v>176</v>
      </c>
      <c r="P45" s="29" t="str">
        <f>K45</f>
        <v/>
      </c>
      <c r="Q45" s="29" t="str">
        <f>L45</f>
        <v/>
      </c>
    </row>
    <row r="46" spans="1:17" ht="15">
      <c r="A46" s="928"/>
      <c r="B46" s="169" t="s">
        <v>155</v>
      </c>
      <c r="C46" s="172" t="s">
        <v>45</v>
      </c>
      <c r="D46" s="838"/>
      <c r="E46" s="838"/>
      <c r="F46" s="226"/>
      <c r="G46" s="902"/>
      <c r="H46" s="905"/>
      <c r="I46" s="172" t="s">
        <v>45</v>
      </c>
      <c r="J46" s="169" t="s">
        <v>155</v>
      </c>
      <c r="K46" s="35" t="str">
        <f t="shared" si="0"/>
        <v/>
      </c>
      <c r="L46" s="35" t="str">
        <f t="shared" si="0"/>
        <v/>
      </c>
      <c r="M46" s="226"/>
      <c r="N46" s="86" t="s">
        <v>380</v>
      </c>
      <c r="O46" s="87" t="s">
        <v>381</v>
      </c>
      <c r="P46" s="29" t="str">
        <f>K59</f>
        <v/>
      </c>
      <c r="Q46" s="29" t="str">
        <f>L59</f>
        <v/>
      </c>
    </row>
    <row r="47" spans="1:17" ht="15">
      <c r="A47" s="926" t="s">
        <v>46</v>
      </c>
      <c r="B47" s="169" t="s">
        <v>112</v>
      </c>
      <c r="C47" s="172" t="s">
        <v>47</v>
      </c>
      <c r="D47" s="838">
        <v>2019.6373599999999</v>
      </c>
      <c r="E47" s="838">
        <v>1203.2172</v>
      </c>
      <c r="F47" s="226"/>
      <c r="G47" s="900" t="s">
        <v>46</v>
      </c>
      <c r="H47" s="903" t="s">
        <v>156</v>
      </c>
      <c r="I47" s="172" t="s">
        <v>47</v>
      </c>
      <c r="J47" s="169" t="s">
        <v>112</v>
      </c>
      <c r="K47" s="35">
        <f t="shared" si="0"/>
        <v>2019.6373599999999</v>
      </c>
      <c r="L47" s="35">
        <f t="shared" si="0"/>
        <v>1203.2172</v>
      </c>
      <c r="M47" s="226"/>
      <c r="N47" s="86" t="s">
        <v>382</v>
      </c>
      <c r="O47" s="87" t="s">
        <v>383</v>
      </c>
      <c r="P47" s="29" t="str">
        <f>K55</f>
        <v/>
      </c>
      <c r="Q47" s="29" t="str">
        <f>L55</f>
        <v/>
      </c>
    </row>
    <row r="48" spans="1:17" ht="15">
      <c r="A48" s="927"/>
      <c r="B48" s="169" t="s">
        <v>157</v>
      </c>
      <c r="C48" s="172" t="s">
        <v>48</v>
      </c>
      <c r="D48" s="838">
        <v>1089.405</v>
      </c>
      <c r="E48" s="838">
        <v>2157.2600000000002</v>
      </c>
      <c r="F48" s="226"/>
      <c r="G48" s="901"/>
      <c r="H48" s="904"/>
      <c r="I48" s="172" t="s">
        <v>48</v>
      </c>
      <c r="J48" s="169" t="s">
        <v>157</v>
      </c>
      <c r="K48" s="35">
        <f t="shared" si="0"/>
        <v>1089.405</v>
      </c>
      <c r="L48" s="35">
        <f t="shared" si="0"/>
        <v>2157.2600000000002</v>
      </c>
      <c r="M48" s="226"/>
      <c r="N48" s="86" t="s">
        <v>384</v>
      </c>
      <c r="O48" s="87" t="s">
        <v>106</v>
      </c>
      <c r="P48" s="29" t="str">
        <f>K40</f>
        <v/>
      </c>
      <c r="Q48" s="29" t="str">
        <f>L40</f>
        <v/>
      </c>
    </row>
    <row r="49" spans="1:17" ht="15">
      <c r="A49" s="935"/>
      <c r="B49" s="169" t="s">
        <v>158</v>
      </c>
      <c r="C49" s="172" t="s">
        <v>49</v>
      </c>
      <c r="D49" s="838"/>
      <c r="E49" s="838"/>
      <c r="F49" s="226"/>
      <c r="G49" s="902"/>
      <c r="H49" s="905"/>
      <c r="I49" s="172" t="s">
        <v>49</v>
      </c>
      <c r="J49" s="169" t="s">
        <v>158</v>
      </c>
      <c r="K49" s="35" t="str">
        <f t="shared" si="0"/>
        <v/>
      </c>
      <c r="L49" s="35" t="str">
        <f t="shared" si="0"/>
        <v/>
      </c>
      <c r="M49" s="226"/>
      <c r="N49" s="86" t="s">
        <v>385</v>
      </c>
      <c r="O49" s="87" t="s">
        <v>108</v>
      </c>
      <c r="P49" s="29" t="str">
        <f>K42</f>
        <v/>
      </c>
      <c r="Q49" s="29" t="str">
        <f>L42</f>
        <v/>
      </c>
    </row>
    <row r="50" spans="1:17" ht="15">
      <c r="A50" s="930" t="s">
        <v>50</v>
      </c>
      <c r="B50" s="169" t="s">
        <v>113</v>
      </c>
      <c r="C50" s="172" t="s">
        <v>51</v>
      </c>
      <c r="D50" s="839"/>
      <c r="E50" s="839"/>
      <c r="F50" s="226"/>
      <c r="G50" s="900" t="s">
        <v>50</v>
      </c>
      <c r="H50" s="903" t="s">
        <v>159</v>
      </c>
      <c r="I50" s="172" t="s">
        <v>51</v>
      </c>
      <c r="J50" s="169" t="s">
        <v>113</v>
      </c>
      <c r="K50" s="32" t="str">
        <f t="shared" si="0"/>
        <v/>
      </c>
      <c r="L50" s="32" t="str">
        <f t="shared" si="0"/>
        <v/>
      </c>
      <c r="M50" s="226"/>
      <c r="N50" s="86" t="s">
        <v>386</v>
      </c>
      <c r="O50" s="87" t="s">
        <v>107</v>
      </c>
      <c r="P50" s="29" t="str">
        <f>K41</f>
        <v/>
      </c>
      <c r="Q50" s="29" t="str">
        <f>L41</f>
        <v/>
      </c>
    </row>
    <row r="51" spans="1:17" ht="15">
      <c r="A51" s="931"/>
      <c r="B51" s="169" t="s">
        <v>114</v>
      </c>
      <c r="C51" s="172" t="s">
        <v>115</v>
      </c>
      <c r="D51" s="839">
        <v>0.82</v>
      </c>
      <c r="E51" s="839">
        <v>1.64</v>
      </c>
      <c r="F51" s="226"/>
      <c r="G51" s="901"/>
      <c r="H51" s="904"/>
      <c r="I51" s="172" t="s">
        <v>115</v>
      </c>
      <c r="J51" s="169" t="s">
        <v>114</v>
      </c>
      <c r="K51" s="32">
        <f t="shared" si="0"/>
        <v>0.82</v>
      </c>
      <c r="L51" s="32">
        <f t="shared" si="0"/>
        <v>1.64</v>
      </c>
      <c r="M51" s="226"/>
      <c r="N51" s="86" t="s">
        <v>387</v>
      </c>
      <c r="O51" s="87" t="s">
        <v>388</v>
      </c>
      <c r="P51" s="29" t="str">
        <f t="shared" ref="P51:Q52" si="6">K57</f>
        <v/>
      </c>
      <c r="Q51" s="29" t="str">
        <f t="shared" si="6"/>
        <v/>
      </c>
    </row>
    <row r="52" spans="1:17" ht="15">
      <c r="A52" s="931"/>
      <c r="B52" s="169" t="s">
        <v>116</v>
      </c>
      <c r="C52" s="172" t="s">
        <v>52</v>
      </c>
      <c r="D52" s="838"/>
      <c r="E52" s="838"/>
      <c r="F52" s="226"/>
      <c r="G52" s="901"/>
      <c r="H52" s="904"/>
      <c r="I52" s="172" t="s">
        <v>52</v>
      </c>
      <c r="J52" s="169" t="s">
        <v>116</v>
      </c>
      <c r="K52" s="35" t="str">
        <f t="shared" si="0"/>
        <v/>
      </c>
      <c r="L52" s="35" t="str">
        <f t="shared" si="0"/>
        <v/>
      </c>
      <c r="M52" s="226"/>
      <c r="N52" s="86" t="s">
        <v>389</v>
      </c>
      <c r="O52" s="87" t="s">
        <v>390</v>
      </c>
      <c r="P52" s="29" t="str">
        <f t="shared" si="6"/>
        <v/>
      </c>
      <c r="Q52" s="29" t="str">
        <f t="shared" si="6"/>
        <v/>
      </c>
    </row>
    <row r="53" spans="1:17" ht="15">
      <c r="A53" s="932"/>
      <c r="B53" s="169" t="s">
        <v>117</v>
      </c>
      <c r="C53" s="172" t="s">
        <v>118</v>
      </c>
      <c r="D53" s="838"/>
      <c r="E53" s="838"/>
      <c r="F53" s="226"/>
      <c r="G53" s="902"/>
      <c r="H53" s="905"/>
      <c r="I53" s="172" t="s">
        <v>118</v>
      </c>
      <c r="J53" s="169" t="s">
        <v>117</v>
      </c>
      <c r="K53" s="35" t="str">
        <f t="shared" si="0"/>
        <v/>
      </c>
      <c r="L53" s="35" t="str">
        <f t="shared" si="0"/>
        <v/>
      </c>
      <c r="M53" s="226"/>
      <c r="N53" s="86" t="s">
        <v>391</v>
      </c>
      <c r="O53" s="87" t="s">
        <v>392</v>
      </c>
      <c r="P53" s="29" t="str">
        <f>K56</f>
        <v/>
      </c>
      <c r="Q53" s="29" t="str">
        <f>L56</f>
        <v/>
      </c>
    </row>
    <row r="54" spans="1:17" ht="15">
      <c r="A54" s="929" t="s">
        <v>53</v>
      </c>
      <c r="B54" s="169" t="s">
        <v>160</v>
      </c>
      <c r="C54" s="172" t="s">
        <v>55</v>
      </c>
      <c r="D54" s="838">
        <v>4</v>
      </c>
      <c r="E54" s="838">
        <v>2.64</v>
      </c>
      <c r="F54" s="226"/>
      <c r="G54" s="900" t="s">
        <v>53</v>
      </c>
      <c r="H54" s="903" t="s">
        <v>54</v>
      </c>
      <c r="I54" s="172" t="s">
        <v>55</v>
      </c>
      <c r="J54" s="169" t="s">
        <v>160</v>
      </c>
      <c r="K54" s="35">
        <f t="shared" ref="K54:L78" si="7">IF(ISNUMBER(D54),D54,"")</f>
        <v>4</v>
      </c>
      <c r="L54" s="35">
        <f t="shared" si="7"/>
        <v>2.64</v>
      </c>
      <c r="M54" s="229"/>
      <c r="N54" s="93"/>
      <c r="O54" s="94" t="s">
        <v>405</v>
      </c>
      <c r="P54" s="30"/>
      <c r="Q54" s="31"/>
    </row>
    <row r="55" spans="1:17" ht="15">
      <c r="A55" s="927"/>
      <c r="B55" s="169" t="s">
        <v>161</v>
      </c>
      <c r="C55" s="172" t="s">
        <v>56</v>
      </c>
      <c r="D55" s="838"/>
      <c r="E55" s="838"/>
      <c r="F55" s="226"/>
      <c r="G55" s="901"/>
      <c r="H55" s="904"/>
      <c r="I55" s="172" t="s">
        <v>56</v>
      </c>
      <c r="J55" s="169" t="s">
        <v>161</v>
      </c>
      <c r="K55" s="35" t="str">
        <f t="shared" si="7"/>
        <v/>
      </c>
      <c r="L55" s="35" t="str">
        <f t="shared" si="7"/>
        <v/>
      </c>
      <c r="M55" s="226"/>
      <c r="N55" s="86" t="s">
        <v>393</v>
      </c>
      <c r="O55" s="87" t="s">
        <v>394</v>
      </c>
      <c r="P55" s="32"/>
      <c r="Q55" s="32"/>
    </row>
    <row r="56" spans="1:17" ht="15">
      <c r="A56" s="927"/>
      <c r="B56" s="169" t="s">
        <v>162</v>
      </c>
      <c r="C56" s="172" t="s">
        <v>57</v>
      </c>
      <c r="D56" s="838"/>
      <c r="E56" s="838"/>
      <c r="F56" s="226"/>
      <c r="G56" s="901"/>
      <c r="H56" s="904"/>
      <c r="I56" s="172" t="s">
        <v>57</v>
      </c>
      <c r="J56" s="169" t="s">
        <v>162</v>
      </c>
      <c r="K56" s="35" t="str">
        <f t="shared" si="7"/>
        <v/>
      </c>
      <c r="L56" s="35" t="str">
        <f t="shared" si="7"/>
        <v/>
      </c>
      <c r="M56" s="226"/>
      <c r="N56" s="86" t="s">
        <v>395</v>
      </c>
      <c r="O56" s="87" t="s">
        <v>396</v>
      </c>
      <c r="P56" s="32"/>
      <c r="Q56" s="32"/>
    </row>
    <row r="57" spans="1:17" ht="15">
      <c r="A57" s="927"/>
      <c r="B57" s="169" t="s">
        <v>119</v>
      </c>
      <c r="C57" s="172" t="s">
        <v>120</v>
      </c>
      <c r="D57" s="838"/>
      <c r="E57" s="838"/>
      <c r="F57" s="226"/>
      <c r="G57" s="901"/>
      <c r="H57" s="904"/>
      <c r="I57" s="172" t="s">
        <v>120</v>
      </c>
      <c r="J57" s="169" t="s">
        <v>119</v>
      </c>
      <c r="K57" s="35" t="str">
        <f t="shared" si="7"/>
        <v/>
      </c>
      <c r="L57" s="35" t="str">
        <f t="shared" si="7"/>
        <v/>
      </c>
      <c r="M57" s="226"/>
      <c r="N57" s="100"/>
      <c r="O57" s="101" t="s">
        <v>408</v>
      </c>
      <c r="P57" s="33"/>
      <c r="Q57" s="34"/>
    </row>
    <row r="58" spans="1:17" ht="15">
      <c r="A58" s="927"/>
      <c r="B58" s="169" t="s">
        <v>121</v>
      </c>
      <c r="C58" s="172" t="s">
        <v>122</v>
      </c>
      <c r="D58" s="838"/>
      <c r="E58" s="838"/>
      <c r="F58" s="226"/>
      <c r="G58" s="901"/>
      <c r="H58" s="904"/>
      <c r="I58" s="172" t="s">
        <v>122</v>
      </c>
      <c r="J58" s="169" t="s">
        <v>121</v>
      </c>
      <c r="K58" s="35" t="str">
        <f t="shared" si="7"/>
        <v/>
      </c>
      <c r="L58" s="35" t="str">
        <f t="shared" si="7"/>
        <v/>
      </c>
      <c r="M58" s="226"/>
      <c r="N58" s="172">
        <v>1</v>
      </c>
      <c r="O58" s="230" t="s">
        <v>397</v>
      </c>
      <c r="P58" s="35" t="str">
        <f t="shared" ref="P58" si="8">IF(OR(ISNUMBER(K23),ISNUMBER(K24),ISNUMBER(K29),ISNUMBER(K30)),SUM(K23:K24,K29:K30),"")</f>
        <v/>
      </c>
      <c r="Q58" s="35">
        <f>IF(OR(ISNUMBER(L23),ISNUMBER(L24),ISNUMBER(L29),ISNUMBER(L30)),SUM(L23:L24,L29:L30),"")</f>
        <v>4.92</v>
      </c>
    </row>
    <row r="59" spans="1:17" ht="15">
      <c r="A59" s="927"/>
      <c r="B59" s="169" t="s">
        <v>123</v>
      </c>
      <c r="C59" s="172" t="s">
        <v>124</v>
      </c>
      <c r="D59" s="838"/>
      <c r="E59" s="838"/>
      <c r="F59" s="226"/>
      <c r="G59" s="901"/>
      <c r="H59" s="904"/>
      <c r="I59" s="172" t="s">
        <v>124</v>
      </c>
      <c r="J59" s="169" t="s">
        <v>123</v>
      </c>
      <c r="K59" s="35" t="str">
        <f t="shared" si="7"/>
        <v/>
      </c>
      <c r="L59" s="35" t="str">
        <f t="shared" si="7"/>
        <v/>
      </c>
      <c r="M59" s="226"/>
      <c r="N59" s="172">
        <v>2</v>
      </c>
      <c r="O59" s="230" t="s">
        <v>398</v>
      </c>
      <c r="P59" s="35">
        <f>IF(OR(ISNUMBER(K31),ISNUMBER(K32),ISNUMBER(K33),ISNUMBER(K36)),SUM(K31:K33,K36),"")</f>
        <v>24</v>
      </c>
      <c r="Q59" s="35">
        <f>IF(OR(ISNUMBER(L31),ISNUMBER(L32),ISNUMBER(L33),ISNUMBER(L36)),SUM(L31:L33,L36),"")</f>
        <v>5.65</v>
      </c>
    </row>
    <row r="60" spans="1:17" ht="15">
      <c r="A60" s="927"/>
      <c r="B60" s="169" t="s">
        <v>136</v>
      </c>
      <c r="C60" s="172" t="s">
        <v>58</v>
      </c>
      <c r="D60" s="838"/>
      <c r="E60" s="838"/>
      <c r="F60" s="226"/>
      <c r="G60" s="901"/>
      <c r="H60" s="904"/>
      <c r="I60" s="172" t="s">
        <v>58</v>
      </c>
      <c r="J60" s="169" t="s">
        <v>136</v>
      </c>
      <c r="K60" s="35" t="str">
        <f t="shared" si="7"/>
        <v/>
      </c>
      <c r="L60" s="35" t="str">
        <f t="shared" si="7"/>
        <v/>
      </c>
      <c r="M60" s="226"/>
      <c r="N60" s="172">
        <v>3</v>
      </c>
      <c r="O60" s="230" t="s">
        <v>323</v>
      </c>
      <c r="P60" s="35" t="str">
        <f t="shared" ref="P60:Q60" si="9">IF(OR(ISNUMBER(K60),ISNUMBER(K61),ISNUMBER(K62),ISNUMBER(K63)),SUM(K60:K63),"")</f>
        <v/>
      </c>
      <c r="Q60" s="35" t="str">
        <f t="shared" si="9"/>
        <v/>
      </c>
    </row>
    <row r="61" spans="1:17" ht="15">
      <c r="A61" s="927"/>
      <c r="B61" s="169" t="s">
        <v>125</v>
      </c>
      <c r="C61" s="172" t="s">
        <v>59</v>
      </c>
      <c r="D61" s="838"/>
      <c r="E61" s="838"/>
      <c r="F61" s="226"/>
      <c r="G61" s="901"/>
      <c r="H61" s="904"/>
      <c r="I61" s="172" t="s">
        <v>59</v>
      </c>
      <c r="J61" s="169" t="s">
        <v>125</v>
      </c>
      <c r="K61" s="35" t="str">
        <f t="shared" si="7"/>
        <v/>
      </c>
      <c r="L61" s="35" t="str">
        <f t="shared" si="7"/>
        <v/>
      </c>
      <c r="M61" s="226"/>
      <c r="N61" s="172">
        <v>4</v>
      </c>
      <c r="O61" s="230" t="s">
        <v>659</v>
      </c>
      <c r="P61" s="35">
        <f>IF(OR(ISNUMBER(K50),ISNUMBER(K51),ISNUMBER(K52),ISNUMBER(K53)),SUM(K50:K53),"")</f>
        <v>0.82</v>
      </c>
      <c r="Q61" s="35" t="str">
        <f>IF(OR(ISNUMBER(L49),ISNUMBER(L50),ISNUMBER(L52),ISNUMBER(L53)),SUM(L49:L53),"")</f>
        <v/>
      </c>
    </row>
    <row r="62" spans="1:17" ht="15">
      <c r="A62" s="927"/>
      <c r="B62" s="169" t="s">
        <v>163</v>
      </c>
      <c r="C62" s="172" t="s">
        <v>60</v>
      </c>
      <c r="D62" s="838"/>
      <c r="E62" s="838"/>
      <c r="F62" s="226"/>
      <c r="G62" s="901"/>
      <c r="H62" s="904"/>
      <c r="I62" s="172" t="s">
        <v>60</v>
      </c>
      <c r="J62" s="169" t="s">
        <v>163</v>
      </c>
      <c r="K62" s="35" t="str">
        <f t="shared" si="7"/>
        <v/>
      </c>
      <c r="L62" s="35" t="str">
        <f t="shared" si="7"/>
        <v/>
      </c>
      <c r="M62" s="226"/>
      <c r="N62" s="172">
        <v>5</v>
      </c>
      <c r="O62" s="169" t="s">
        <v>399</v>
      </c>
      <c r="P62" s="35">
        <f>K64</f>
        <v>4</v>
      </c>
      <c r="Q62" s="35">
        <f>L64</f>
        <v>10.56</v>
      </c>
    </row>
    <row r="63" spans="1:17" ht="15">
      <c r="A63" s="928"/>
      <c r="B63" s="169" t="s">
        <v>126</v>
      </c>
      <c r="C63" s="172" t="s">
        <v>61</v>
      </c>
      <c r="D63" s="838"/>
      <c r="E63" s="838"/>
      <c r="F63" s="226"/>
      <c r="G63" s="902"/>
      <c r="H63" s="905"/>
      <c r="I63" s="172" t="s">
        <v>61</v>
      </c>
      <c r="J63" s="169" t="s">
        <v>126</v>
      </c>
      <c r="K63" s="35" t="str">
        <f t="shared" si="7"/>
        <v/>
      </c>
      <c r="L63" s="35" t="str">
        <f t="shared" si="7"/>
        <v/>
      </c>
      <c r="M63" s="226"/>
      <c r="N63" s="175">
        <v>6</v>
      </c>
      <c r="O63" s="169" t="s">
        <v>462</v>
      </c>
      <c r="P63" s="35">
        <f t="shared" ref="P63:Q63" si="10">K65</f>
        <v>2.8</v>
      </c>
      <c r="Q63" s="35" t="str">
        <f t="shared" si="10"/>
        <v/>
      </c>
    </row>
    <row r="64" spans="1:17" ht="15">
      <c r="A64" s="926" t="s">
        <v>62</v>
      </c>
      <c r="B64" s="169" t="s">
        <v>165</v>
      </c>
      <c r="C64" s="172" t="s">
        <v>63</v>
      </c>
      <c r="D64" s="838">
        <v>4</v>
      </c>
      <c r="E64" s="838">
        <v>10.56</v>
      </c>
      <c r="F64" s="226"/>
      <c r="G64" s="900" t="s">
        <v>62</v>
      </c>
      <c r="H64" s="903" t="s">
        <v>164</v>
      </c>
      <c r="I64" s="172" t="s">
        <v>63</v>
      </c>
      <c r="J64" s="169" t="s">
        <v>165</v>
      </c>
      <c r="K64" s="35">
        <f t="shared" si="7"/>
        <v>4</v>
      </c>
      <c r="L64" s="35">
        <f t="shared" si="7"/>
        <v>10.56</v>
      </c>
      <c r="M64" s="231"/>
      <c r="N64" s="175">
        <v>7</v>
      </c>
      <c r="O64" s="169" t="s">
        <v>463</v>
      </c>
      <c r="P64" s="35" t="str">
        <f>IF(OR(ISNUMBER(K66),ISNUMBER(K69)),SUM(K66,K69),"")</f>
        <v/>
      </c>
      <c r="Q64" s="35" t="str">
        <f>IF(OR(ISNUMBER(L66),ISNUMBER(L69)),SUM(L66,L69),"")</f>
        <v/>
      </c>
    </row>
    <row r="65" spans="1:17" ht="15">
      <c r="A65" s="927"/>
      <c r="B65" s="169" t="s">
        <v>127</v>
      </c>
      <c r="C65" s="172" t="s">
        <v>64</v>
      </c>
      <c r="D65" s="839">
        <v>2.8</v>
      </c>
      <c r="E65" s="839"/>
      <c r="F65" s="226"/>
      <c r="G65" s="901"/>
      <c r="H65" s="904"/>
      <c r="I65" s="172" t="s">
        <v>64</v>
      </c>
      <c r="J65" s="169" t="s">
        <v>127</v>
      </c>
      <c r="K65" s="32">
        <f t="shared" si="7"/>
        <v>2.8</v>
      </c>
      <c r="L65" s="32" t="str">
        <f t="shared" si="7"/>
        <v/>
      </c>
      <c r="M65" s="231"/>
      <c r="N65" s="175">
        <v>8</v>
      </c>
      <c r="O65" s="191" t="s">
        <v>133</v>
      </c>
      <c r="P65" s="35" t="str">
        <f>K78</f>
        <v/>
      </c>
      <c r="Q65" s="35" t="str">
        <f>L78</f>
        <v/>
      </c>
    </row>
    <row r="66" spans="1:17" ht="15">
      <c r="A66" s="927"/>
      <c r="B66" s="169" t="s">
        <v>166</v>
      </c>
      <c r="C66" s="172" t="s">
        <v>65</v>
      </c>
      <c r="D66" s="838"/>
      <c r="E66" s="838"/>
      <c r="F66" s="226"/>
      <c r="G66" s="901"/>
      <c r="H66" s="904"/>
      <c r="I66" s="172" t="s">
        <v>65</v>
      </c>
      <c r="J66" s="169" t="s">
        <v>166</v>
      </c>
      <c r="K66" s="35" t="str">
        <f t="shared" si="7"/>
        <v/>
      </c>
      <c r="L66" s="35" t="str">
        <f t="shared" si="7"/>
        <v/>
      </c>
      <c r="M66" s="231"/>
      <c r="N66" s="232"/>
    </row>
    <row r="67" spans="1:17" ht="15">
      <c r="A67" s="927"/>
      <c r="B67" s="169" t="s">
        <v>173</v>
      </c>
      <c r="C67" s="172" t="s">
        <v>66</v>
      </c>
      <c r="D67" s="838"/>
      <c r="E67" s="838"/>
      <c r="F67" s="226"/>
      <c r="G67" s="901"/>
      <c r="H67" s="904"/>
      <c r="I67" s="172" t="s">
        <v>66</v>
      </c>
      <c r="J67" s="169" t="s">
        <v>173</v>
      </c>
      <c r="K67" s="35" t="str">
        <f t="shared" si="7"/>
        <v/>
      </c>
      <c r="L67" s="35" t="str">
        <f t="shared" si="7"/>
        <v/>
      </c>
      <c r="M67" s="231"/>
      <c r="N67" s="232"/>
    </row>
    <row r="68" spans="1:17" ht="15">
      <c r="A68" s="927"/>
      <c r="B68" s="169" t="s">
        <v>174</v>
      </c>
      <c r="C68" s="172" t="s">
        <v>67</v>
      </c>
      <c r="D68" s="838"/>
      <c r="E68" s="838">
        <v>1.8029999999999999</v>
      </c>
      <c r="F68" s="226"/>
      <c r="G68" s="901"/>
      <c r="H68" s="904"/>
      <c r="I68" s="172" t="s">
        <v>67</v>
      </c>
      <c r="J68" s="169" t="s">
        <v>174</v>
      </c>
      <c r="K68" s="35" t="str">
        <f t="shared" si="7"/>
        <v/>
      </c>
      <c r="L68" s="35">
        <f t="shared" si="7"/>
        <v>1.8029999999999999</v>
      </c>
      <c r="M68" s="231"/>
      <c r="N68" s="232"/>
    </row>
    <row r="69" spans="1:17" ht="15">
      <c r="A69" s="927"/>
      <c r="B69" s="169" t="s">
        <v>175</v>
      </c>
      <c r="C69" s="172" t="s">
        <v>68</v>
      </c>
      <c r="D69" s="838"/>
      <c r="E69" s="838"/>
      <c r="F69" s="226"/>
      <c r="G69" s="901"/>
      <c r="H69" s="904"/>
      <c r="I69" s="172" t="s">
        <v>68</v>
      </c>
      <c r="J69" s="169" t="s">
        <v>175</v>
      </c>
      <c r="K69" s="35" t="str">
        <f t="shared" si="7"/>
        <v/>
      </c>
      <c r="L69" s="35" t="str">
        <f t="shared" si="7"/>
        <v/>
      </c>
      <c r="M69" s="231"/>
      <c r="N69" s="232"/>
    </row>
    <row r="70" spans="1:17" ht="15">
      <c r="A70" s="927"/>
      <c r="B70" s="169" t="s">
        <v>167</v>
      </c>
      <c r="C70" s="172" t="s">
        <v>128</v>
      </c>
      <c r="D70" s="838"/>
      <c r="E70" s="838"/>
      <c r="F70" s="226"/>
      <c r="G70" s="901"/>
      <c r="H70" s="904"/>
      <c r="I70" s="172" t="s">
        <v>128</v>
      </c>
      <c r="J70" s="169" t="s">
        <v>167</v>
      </c>
      <c r="K70" s="32" t="str">
        <f t="shared" si="7"/>
        <v/>
      </c>
      <c r="L70" s="32" t="str">
        <f t="shared" si="7"/>
        <v/>
      </c>
      <c r="M70" s="231"/>
      <c r="N70" s="232"/>
    </row>
    <row r="71" spans="1:17" ht="15">
      <c r="A71" s="927"/>
      <c r="B71" s="169" t="s">
        <v>129</v>
      </c>
      <c r="C71" s="172" t="s">
        <v>69</v>
      </c>
      <c r="D71" s="838"/>
      <c r="E71" s="838"/>
      <c r="F71" s="226"/>
      <c r="G71" s="901"/>
      <c r="H71" s="904"/>
      <c r="I71" s="172" t="s">
        <v>69</v>
      </c>
      <c r="J71" s="169" t="s">
        <v>129</v>
      </c>
      <c r="K71" s="35" t="str">
        <f t="shared" si="7"/>
        <v/>
      </c>
      <c r="L71" s="35" t="str">
        <f t="shared" si="7"/>
        <v/>
      </c>
      <c r="M71" s="231"/>
      <c r="N71" s="232"/>
    </row>
    <row r="72" spans="1:17" ht="15">
      <c r="A72" s="928"/>
      <c r="B72" s="169" t="s">
        <v>168</v>
      </c>
      <c r="C72" s="172" t="s">
        <v>70</v>
      </c>
      <c r="D72" s="838"/>
      <c r="E72" s="838"/>
      <c r="F72" s="226"/>
      <c r="G72" s="902"/>
      <c r="H72" s="905"/>
      <c r="I72" s="172" t="s">
        <v>70</v>
      </c>
      <c r="J72" s="169" t="s">
        <v>168</v>
      </c>
      <c r="K72" s="35" t="str">
        <f t="shared" si="7"/>
        <v/>
      </c>
      <c r="L72" s="35" t="str">
        <f t="shared" si="7"/>
        <v/>
      </c>
      <c r="M72" s="231"/>
      <c r="N72" s="232"/>
    </row>
    <row r="73" spans="1:17" ht="15">
      <c r="A73" s="926" t="s">
        <v>71</v>
      </c>
      <c r="B73" s="169" t="s">
        <v>170</v>
      </c>
      <c r="C73" s="172" t="s">
        <v>72</v>
      </c>
      <c r="D73" s="838">
        <v>43.709000000000003</v>
      </c>
      <c r="E73" s="838">
        <v>39.729399999999998</v>
      </c>
      <c r="F73" s="226"/>
      <c r="G73" s="900" t="s">
        <v>71</v>
      </c>
      <c r="H73" s="903" t="s">
        <v>169</v>
      </c>
      <c r="I73" s="172" t="s">
        <v>72</v>
      </c>
      <c r="J73" s="169" t="s">
        <v>170</v>
      </c>
      <c r="K73" s="35">
        <f t="shared" si="7"/>
        <v>43.709000000000003</v>
      </c>
      <c r="L73" s="35">
        <f t="shared" si="7"/>
        <v>39.729399999999998</v>
      </c>
      <c r="M73" s="231"/>
      <c r="N73" s="232"/>
    </row>
    <row r="74" spans="1:17" ht="15">
      <c r="A74" s="927"/>
      <c r="B74" s="169" t="s">
        <v>130</v>
      </c>
      <c r="C74" s="172" t="s">
        <v>73</v>
      </c>
      <c r="D74" s="838">
        <v>11</v>
      </c>
      <c r="E74" s="838"/>
      <c r="F74" s="226"/>
      <c r="G74" s="901"/>
      <c r="H74" s="904"/>
      <c r="I74" s="172" t="s">
        <v>73</v>
      </c>
      <c r="J74" s="169" t="s">
        <v>130</v>
      </c>
      <c r="K74" s="35">
        <f t="shared" si="7"/>
        <v>11</v>
      </c>
      <c r="L74" s="35" t="str">
        <f t="shared" si="7"/>
        <v/>
      </c>
      <c r="M74" s="231"/>
      <c r="N74" s="232"/>
    </row>
    <row r="75" spans="1:17" ht="15">
      <c r="A75" s="928"/>
      <c r="B75" s="169" t="s">
        <v>131</v>
      </c>
      <c r="C75" s="172" t="s">
        <v>74</v>
      </c>
      <c r="D75" s="838"/>
      <c r="E75" s="838"/>
      <c r="F75" s="226"/>
      <c r="G75" s="902"/>
      <c r="H75" s="905"/>
      <c r="I75" s="172" t="s">
        <v>74</v>
      </c>
      <c r="J75" s="169" t="s">
        <v>131</v>
      </c>
      <c r="K75" s="35" t="str">
        <f t="shared" si="7"/>
        <v/>
      </c>
      <c r="L75" s="35" t="str">
        <f t="shared" si="7"/>
        <v/>
      </c>
      <c r="M75" s="231"/>
      <c r="N75" s="232"/>
    </row>
    <row r="76" spans="1:17" ht="15">
      <c r="A76" s="926" t="s">
        <v>75</v>
      </c>
      <c r="B76" s="169" t="s">
        <v>171</v>
      </c>
      <c r="C76" s="172" t="s">
        <v>77</v>
      </c>
      <c r="D76" s="838">
        <v>1.35</v>
      </c>
      <c r="E76" s="838">
        <v>26.24</v>
      </c>
      <c r="F76" s="226"/>
      <c r="G76" s="900" t="s">
        <v>75</v>
      </c>
      <c r="H76" s="903" t="s">
        <v>76</v>
      </c>
      <c r="I76" s="172" t="s">
        <v>77</v>
      </c>
      <c r="J76" s="169" t="s">
        <v>171</v>
      </c>
      <c r="K76" s="35">
        <f t="shared" si="7"/>
        <v>1.35</v>
      </c>
      <c r="L76" s="35">
        <f t="shared" si="7"/>
        <v>26.24</v>
      </c>
      <c r="M76" s="231"/>
      <c r="N76" s="232"/>
    </row>
    <row r="77" spans="1:17" ht="15">
      <c r="A77" s="927"/>
      <c r="B77" s="169" t="s">
        <v>132</v>
      </c>
      <c r="C77" s="172" t="s">
        <v>78</v>
      </c>
      <c r="D77" s="838"/>
      <c r="E77" s="838"/>
      <c r="F77" s="226"/>
      <c r="G77" s="901"/>
      <c r="H77" s="904"/>
      <c r="I77" s="172" t="s">
        <v>78</v>
      </c>
      <c r="J77" s="169" t="s">
        <v>132</v>
      </c>
      <c r="K77" s="35" t="str">
        <f t="shared" si="7"/>
        <v/>
      </c>
      <c r="L77" s="35" t="str">
        <f t="shared" si="7"/>
        <v/>
      </c>
      <c r="M77" s="231"/>
      <c r="N77" s="232"/>
    </row>
    <row r="78" spans="1:17" ht="15">
      <c r="A78" s="927"/>
      <c r="B78" s="169" t="s">
        <v>133</v>
      </c>
      <c r="C78" s="172" t="s">
        <v>134</v>
      </c>
      <c r="D78" s="839"/>
      <c r="E78" s="839"/>
      <c r="F78" s="226"/>
      <c r="G78" s="901"/>
      <c r="H78" s="904"/>
      <c r="I78" s="172" t="s">
        <v>134</v>
      </c>
      <c r="J78" s="169" t="s">
        <v>133</v>
      </c>
      <c r="K78" s="32" t="str">
        <f t="shared" si="7"/>
        <v/>
      </c>
      <c r="L78" s="32" t="str">
        <f t="shared" si="7"/>
        <v/>
      </c>
      <c r="M78" s="231"/>
      <c r="N78" s="232"/>
    </row>
    <row r="79" spans="1:17" ht="15">
      <c r="A79" s="928"/>
      <c r="B79" s="169" t="s">
        <v>135</v>
      </c>
      <c r="C79" s="172" t="s">
        <v>172</v>
      </c>
      <c r="D79" s="838"/>
      <c r="E79" s="838"/>
      <c r="F79" s="226"/>
      <c r="G79" s="902"/>
      <c r="H79" s="905"/>
      <c r="I79" s="172" t="s">
        <v>172</v>
      </c>
      <c r="J79" s="169" t="s">
        <v>135</v>
      </c>
      <c r="K79" s="35" t="str">
        <f t="shared" ref="K79:L79" si="11">IF(ISNUMBER(D79),D79,"")</f>
        <v/>
      </c>
      <c r="L79" s="35" t="str">
        <f t="shared" si="11"/>
        <v/>
      </c>
      <c r="M79" s="231"/>
      <c r="N79" s="232"/>
    </row>
    <row r="80" spans="1:17" s="69" customFormat="1" ht="18.75" customHeight="1">
      <c r="D80" s="109"/>
      <c r="E80" s="110" t="s">
        <v>867</v>
      </c>
      <c r="F80" s="109"/>
      <c r="G80" s="111"/>
      <c r="H80" s="112"/>
      <c r="M80" s="106"/>
      <c r="N80" s="107"/>
    </row>
    <row r="81" spans="2:14" ht="15">
      <c r="D81" s="116"/>
      <c r="E81" s="116"/>
      <c r="F81" s="116"/>
      <c r="M81" s="116"/>
      <c r="N81" s="232"/>
    </row>
    <row r="82" spans="2:14" ht="15">
      <c r="D82" s="116"/>
      <c r="E82" s="116"/>
      <c r="F82" s="116"/>
      <c r="M82" s="116"/>
    </row>
    <row r="83" spans="2:14" ht="18.75">
      <c r="B83" s="233" t="s">
        <v>843</v>
      </c>
      <c r="D83" s="116"/>
      <c r="E83" s="116"/>
      <c r="F83" s="116"/>
      <c r="M83" s="116"/>
    </row>
    <row r="84" spans="2:14" ht="102">
      <c r="B84" s="840" t="s">
        <v>1019</v>
      </c>
      <c r="D84" s="116"/>
      <c r="E84" s="116"/>
      <c r="F84" s="116"/>
      <c r="M84" s="116"/>
    </row>
    <row r="85" spans="2:14" ht="15" customHeight="1">
      <c r="B85" s="120"/>
      <c r="D85" s="116"/>
      <c r="E85" s="116"/>
      <c r="F85" s="116"/>
      <c r="H85" s="199"/>
      <c r="M85" s="116"/>
    </row>
    <row r="86" spans="2:14" ht="15">
      <c r="B86" s="121"/>
      <c r="D86" s="116"/>
      <c r="E86" s="116"/>
      <c r="F86" s="116"/>
      <c r="M86" s="116"/>
    </row>
    <row r="87" spans="2:14" ht="15">
      <c r="B87" s="121"/>
      <c r="D87" s="116"/>
      <c r="E87" s="116"/>
      <c r="F87" s="116"/>
      <c r="M87" s="116"/>
    </row>
    <row r="88" spans="2:14" ht="15">
      <c r="B88" s="120"/>
      <c r="D88" s="116"/>
      <c r="E88" s="116"/>
      <c r="F88" s="116"/>
      <c r="M88" s="116"/>
    </row>
    <row r="89" spans="2:14" ht="15">
      <c r="B89" s="120"/>
      <c r="D89" s="116"/>
      <c r="E89" s="116"/>
      <c r="F89" s="116"/>
      <c r="M89" s="116"/>
    </row>
    <row r="90" spans="2:14" ht="15">
      <c r="B90" s="120"/>
      <c r="D90" s="116"/>
      <c r="E90" s="116"/>
      <c r="F90" s="116"/>
      <c r="M90" s="116"/>
    </row>
    <row r="91" spans="2:14" ht="15">
      <c r="B91" s="120"/>
      <c r="M91" s="116"/>
    </row>
    <row r="92" spans="2:14">
      <c r="B92" s="120"/>
    </row>
    <row r="93" spans="2:14">
      <c r="B93" s="122"/>
    </row>
  </sheetData>
  <sheetProtection sheet="1" objects="1" scenarios="1"/>
  <mergeCells count="38">
    <mergeCell ref="A8:A10"/>
    <mergeCell ref="A47:A49"/>
    <mergeCell ref="A44:A46"/>
    <mergeCell ref="A40:A43"/>
    <mergeCell ref="A38:A39"/>
    <mergeCell ref="A13:A36"/>
    <mergeCell ref="A64:A72"/>
    <mergeCell ref="A73:A75"/>
    <mergeCell ref="A76:A79"/>
    <mergeCell ref="A54:A63"/>
    <mergeCell ref="A50:A53"/>
    <mergeCell ref="G50:G53"/>
    <mergeCell ref="G54:G63"/>
    <mergeCell ref="P6:Q6"/>
    <mergeCell ref="H38:H39"/>
    <mergeCell ref="D6:E6"/>
    <mergeCell ref="G6:J6"/>
    <mergeCell ref="K6:L6"/>
    <mergeCell ref="N6:O6"/>
    <mergeCell ref="G8:G10"/>
    <mergeCell ref="G13:G36"/>
    <mergeCell ref="G38:G39"/>
    <mergeCell ref="G64:G72"/>
    <mergeCell ref="G73:G75"/>
    <mergeCell ref="G76:G79"/>
    <mergeCell ref="H8:H10"/>
    <mergeCell ref="H13:H36"/>
    <mergeCell ref="H40:H43"/>
    <mergeCell ref="H44:H46"/>
    <mergeCell ref="H47:H49"/>
    <mergeCell ref="H50:H53"/>
    <mergeCell ref="H54:H63"/>
    <mergeCell ref="H64:H72"/>
    <mergeCell ref="H73:H75"/>
    <mergeCell ref="H76:H79"/>
    <mergeCell ref="G40:G43"/>
    <mergeCell ref="G44:G46"/>
    <mergeCell ref="G47:G49"/>
  </mergeCells>
  <conditionalFormatting sqref="D8:E79">
    <cfRule type="expression" dxfId="65" priority="1">
      <formula>ISNUMBER(D8)</formula>
    </cfRule>
  </conditionalFormatting>
  <hyperlinks>
    <hyperlink ref="B4" location="Instructions_to_users" display="Instructions to users (hyperlink)"/>
  </hyperlinks>
  <pageMargins left="0.25" right="0.25" top="0.75" bottom="0.75" header="0.3" footer="0.3"/>
  <pageSetup paperSize="9" scale="80" fitToWidth="0" orientation="portrait" r:id="rId1"/>
  <legacyDrawing r:id="rId2"/>
</worksheet>
</file>

<file path=xl/worksheets/sheet5.xml><?xml version="1.0" encoding="utf-8"?>
<worksheet xmlns="http://schemas.openxmlformats.org/spreadsheetml/2006/main" xmlns:r="http://schemas.openxmlformats.org/officeDocument/2006/relationships">
  <sheetPr>
    <tabColor rgb="FF00B050"/>
  </sheetPr>
  <dimension ref="A1:U93"/>
  <sheetViews>
    <sheetView zoomScale="80" zoomScaleNormal="80" workbookViewId="0">
      <pane ySplit="7" topLeftCell="A8" activePane="bottomLeft" state="frozen"/>
      <selection activeCell="E62" sqref="E62"/>
      <selection pane="bottomLeft" activeCell="A8" sqref="A8:A10"/>
    </sheetView>
  </sheetViews>
  <sheetFormatPr defaultRowHeight="12.75"/>
  <cols>
    <col min="1" max="1" width="5.7109375" style="242" customWidth="1"/>
    <col min="2" max="2" width="99.5703125" style="242" customWidth="1"/>
    <col min="3" max="3" width="8.28515625" style="242" customWidth="1"/>
    <col min="4" max="5" width="10.5703125" style="138" customWidth="1"/>
    <col min="6" max="6" width="4.7109375" style="138" customWidth="1"/>
    <col min="7" max="7" width="7.7109375" style="111" customWidth="1"/>
    <col min="8" max="8" width="20.5703125" style="112" customWidth="1"/>
    <col min="9" max="9" width="9.140625" style="291"/>
    <col min="10" max="10" width="91.5703125" style="242" customWidth="1"/>
    <col min="11" max="12" width="10.140625" style="242" customWidth="1"/>
    <col min="13" max="13" width="4.7109375" style="138" customWidth="1"/>
    <col min="14" max="14" width="10.42578125" style="242" customWidth="1"/>
    <col min="15" max="15" width="68.5703125" style="242" customWidth="1"/>
    <col min="16" max="17" width="10.5703125" style="242" customWidth="1"/>
    <col min="18" max="16384" width="9.140625" style="242"/>
  </cols>
  <sheetData>
    <row r="1" spans="1:17" s="237" customFormat="1" ht="21.75" thickBot="1">
      <c r="A1" s="236" t="s">
        <v>793</v>
      </c>
      <c r="D1" s="238"/>
      <c r="E1" s="238"/>
      <c r="F1" s="238"/>
      <c r="G1" s="238"/>
      <c r="H1" s="238"/>
      <c r="I1" s="239"/>
      <c r="J1" s="240"/>
      <c r="M1" s="238"/>
      <c r="N1" s="241"/>
      <c r="O1" s="241"/>
    </row>
    <row r="2" spans="1:17" ht="15">
      <c r="A2" s="129" t="s">
        <v>605</v>
      </c>
      <c r="C2" s="197"/>
      <c r="D2" s="243"/>
      <c r="E2" s="244"/>
      <c r="F2" s="245" t="s">
        <v>444</v>
      </c>
      <c r="G2" s="246"/>
      <c r="H2" s="247"/>
      <c r="I2" s="136" t="s">
        <v>400</v>
      </c>
      <c r="J2" s="248"/>
    </row>
    <row r="3" spans="1:17" ht="18.75">
      <c r="A3" s="249"/>
      <c r="B3" s="141" t="s">
        <v>804</v>
      </c>
      <c r="C3" s="118"/>
      <c r="D3" s="243"/>
      <c r="E3" s="250"/>
      <c r="F3" s="251" t="s">
        <v>445</v>
      </c>
      <c r="G3" s="252"/>
      <c r="H3" s="253"/>
      <c r="I3" s="254"/>
      <c r="J3" s="255" t="s">
        <v>785</v>
      </c>
    </row>
    <row r="4" spans="1:17" ht="18.75">
      <c r="A4" s="256"/>
      <c r="B4" s="61" t="s">
        <v>866</v>
      </c>
      <c r="C4" s="257"/>
      <c r="D4" s="243"/>
      <c r="E4" s="258"/>
      <c r="F4" s="259" t="s">
        <v>851</v>
      </c>
      <c r="G4" s="252"/>
      <c r="H4" s="253"/>
      <c r="I4" s="151" t="s">
        <v>802</v>
      </c>
      <c r="J4" s="260" t="s">
        <v>801</v>
      </c>
    </row>
    <row r="5" spans="1:17" ht="15.75" thickBot="1">
      <c r="A5" s="154"/>
      <c r="D5" s="261"/>
      <c r="E5" s="262"/>
      <c r="F5" s="263" t="s">
        <v>852</v>
      </c>
      <c r="G5" s="264"/>
      <c r="H5" s="265"/>
      <c r="I5" s="266"/>
      <c r="J5" s="267"/>
    </row>
    <row r="6" spans="1:17" s="163" customFormat="1" ht="18.75">
      <c r="A6" s="938" t="s">
        <v>606</v>
      </c>
      <c r="B6" s="939"/>
      <c r="C6" s="940"/>
      <c r="D6" s="940"/>
      <c r="E6" s="941"/>
      <c r="F6" s="162"/>
      <c r="G6" s="911" t="s">
        <v>402</v>
      </c>
      <c r="H6" s="936"/>
      <c r="I6" s="936"/>
      <c r="J6" s="937"/>
      <c r="K6" s="889" t="s">
        <v>401</v>
      </c>
      <c r="L6" s="890"/>
      <c r="M6" s="162"/>
      <c r="N6" s="881" t="s">
        <v>403</v>
      </c>
      <c r="O6" s="882"/>
      <c r="P6" s="883" t="s">
        <v>401</v>
      </c>
      <c r="Q6" s="884"/>
    </row>
    <row r="7" spans="1:17" s="271" customFormat="1" ht="25.5">
      <c r="A7" s="268" t="s">
        <v>0</v>
      </c>
      <c r="B7" s="269" t="s">
        <v>1</v>
      </c>
      <c r="C7" s="270" t="s">
        <v>2</v>
      </c>
      <c r="D7" s="270" t="s">
        <v>668</v>
      </c>
      <c r="E7" s="270" t="s">
        <v>669</v>
      </c>
      <c r="F7" s="167"/>
      <c r="G7" s="75" t="s">
        <v>781</v>
      </c>
      <c r="H7" s="76" t="s">
        <v>409</v>
      </c>
      <c r="I7" s="77" t="s">
        <v>782</v>
      </c>
      <c r="J7" s="76" t="s">
        <v>404</v>
      </c>
      <c r="K7" s="78" t="s">
        <v>668</v>
      </c>
      <c r="L7" s="78" t="s">
        <v>669</v>
      </c>
      <c r="M7" s="167"/>
      <c r="N7" s="79" t="s">
        <v>0</v>
      </c>
      <c r="O7" s="80" t="s">
        <v>406</v>
      </c>
      <c r="P7" s="81" t="s">
        <v>668</v>
      </c>
      <c r="Q7" s="81" t="s">
        <v>669</v>
      </c>
    </row>
    <row r="8" spans="1:17" ht="15">
      <c r="A8" s="942" t="s">
        <v>3</v>
      </c>
      <c r="B8" s="272" t="s">
        <v>607</v>
      </c>
      <c r="C8" s="273" t="s">
        <v>4</v>
      </c>
      <c r="D8" s="841">
        <v>2857.58</v>
      </c>
      <c r="E8" s="841">
        <v>3084.0380010000031</v>
      </c>
      <c r="F8" s="171"/>
      <c r="G8" s="872" t="s">
        <v>3</v>
      </c>
      <c r="H8" s="875" t="s">
        <v>137</v>
      </c>
      <c r="I8" s="274" t="s">
        <v>4</v>
      </c>
      <c r="J8" s="272" t="s">
        <v>79</v>
      </c>
      <c r="K8" s="275">
        <f t="shared" ref="K8:K22" si="0">IF(ISNUMBER(D8),D8,"")</f>
        <v>2857.58</v>
      </c>
      <c r="L8" s="275">
        <f t="shared" ref="L8:L22" si="1">IF(ISNUMBER(E8),E8,"")</f>
        <v>3084.0380010000031</v>
      </c>
      <c r="M8" s="171"/>
      <c r="N8" s="173" t="s">
        <v>324</v>
      </c>
      <c r="O8" s="185" t="s">
        <v>325</v>
      </c>
      <c r="P8" s="29">
        <f t="shared" ref="P8:Q8" si="2">K73</f>
        <v>14230.204000000522</v>
      </c>
      <c r="Q8" s="29">
        <f t="shared" si="2"/>
        <v>12880.958001002788</v>
      </c>
    </row>
    <row r="9" spans="1:17" ht="15">
      <c r="A9" s="943"/>
      <c r="B9" s="272" t="s">
        <v>608</v>
      </c>
      <c r="C9" s="273" t="s">
        <v>138</v>
      </c>
      <c r="D9" s="841">
        <v>42.24</v>
      </c>
      <c r="E9" s="841">
        <v>9.9999999999999995E-7</v>
      </c>
      <c r="F9" s="171"/>
      <c r="G9" s="873"/>
      <c r="H9" s="876"/>
      <c r="I9" s="274" t="s">
        <v>138</v>
      </c>
      <c r="J9" s="272" t="s">
        <v>139</v>
      </c>
      <c r="K9" s="275">
        <f t="shared" si="0"/>
        <v>42.24</v>
      </c>
      <c r="L9" s="275">
        <f t="shared" si="1"/>
        <v>9.9999999999999995E-7</v>
      </c>
      <c r="M9" s="171"/>
      <c r="N9" s="173" t="s">
        <v>326</v>
      </c>
      <c r="O9" s="185" t="s">
        <v>327</v>
      </c>
      <c r="P9" s="29">
        <f t="shared" ref="P9:Q9" si="3">K75</f>
        <v>19.461000000000002</v>
      </c>
      <c r="Q9" s="29">
        <f t="shared" si="3"/>
        <v>370.54900100000009</v>
      </c>
    </row>
    <row r="10" spans="1:17" ht="15">
      <c r="A10" s="944"/>
      <c r="B10" s="272" t="s">
        <v>80</v>
      </c>
      <c r="C10" s="273" t="s">
        <v>81</v>
      </c>
      <c r="D10" s="841">
        <v>25.512999999999998</v>
      </c>
      <c r="E10" s="841">
        <v>43.68000099999999</v>
      </c>
      <c r="F10" s="171"/>
      <c r="G10" s="874"/>
      <c r="H10" s="877"/>
      <c r="I10" s="274" t="s">
        <v>81</v>
      </c>
      <c r="J10" s="272" t="s">
        <v>80</v>
      </c>
      <c r="K10" s="275">
        <f t="shared" si="0"/>
        <v>25.512999999999998</v>
      </c>
      <c r="L10" s="275">
        <f t="shared" si="1"/>
        <v>43.68000099999999</v>
      </c>
      <c r="M10" s="171"/>
      <c r="N10" s="173" t="s">
        <v>328</v>
      </c>
      <c r="O10" s="185" t="s">
        <v>130</v>
      </c>
      <c r="P10" s="29">
        <f t="shared" ref="P10:Q10" si="4">K74</f>
        <v>773.05099999999982</v>
      </c>
      <c r="Q10" s="29">
        <f t="shared" si="4"/>
        <v>549.02600099999972</v>
      </c>
    </row>
    <row r="11" spans="1:17" ht="15">
      <c r="A11" s="276" t="s">
        <v>5</v>
      </c>
      <c r="B11" s="272" t="s">
        <v>609</v>
      </c>
      <c r="C11" s="273" t="s">
        <v>7</v>
      </c>
      <c r="D11" s="841">
        <v>6732.6140000000014</v>
      </c>
      <c r="E11" s="841">
        <v>7247.6330010000065</v>
      </c>
      <c r="F11" s="171"/>
      <c r="G11" s="90" t="s">
        <v>5</v>
      </c>
      <c r="H11" s="91" t="s">
        <v>6</v>
      </c>
      <c r="I11" s="274" t="s">
        <v>7</v>
      </c>
      <c r="J11" s="272" t="s">
        <v>82</v>
      </c>
      <c r="K11" s="275">
        <f t="shared" si="0"/>
        <v>6732.6140000000014</v>
      </c>
      <c r="L11" s="275">
        <f t="shared" si="1"/>
        <v>7247.6330010000065</v>
      </c>
      <c r="M11" s="171"/>
      <c r="N11" s="173" t="s">
        <v>329</v>
      </c>
      <c r="O11" s="185" t="s">
        <v>330</v>
      </c>
      <c r="P11" s="29">
        <f t="shared" ref="P11:Q11" si="5">K44</f>
        <v>568.38099999999997</v>
      </c>
      <c r="Q11" s="29">
        <f t="shared" si="5"/>
        <v>612.120001</v>
      </c>
    </row>
    <row r="12" spans="1:17" ht="15">
      <c r="A12" s="277" t="s">
        <v>8</v>
      </c>
      <c r="B12" s="272" t="s">
        <v>610</v>
      </c>
      <c r="C12" s="278" t="s">
        <v>9</v>
      </c>
      <c r="D12" s="841">
        <v>133301.06799999994</v>
      </c>
      <c r="E12" s="841">
        <v>79777.451000999557</v>
      </c>
      <c r="F12" s="171"/>
      <c r="G12" s="90" t="s">
        <v>8</v>
      </c>
      <c r="H12" s="91" t="s">
        <v>140</v>
      </c>
      <c r="I12" s="274" t="s">
        <v>9</v>
      </c>
      <c r="J12" s="272" t="s">
        <v>83</v>
      </c>
      <c r="K12" s="275">
        <f t="shared" si="0"/>
        <v>133301.06799999994</v>
      </c>
      <c r="L12" s="275">
        <f t="shared" si="1"/>
        <v>79777.451000999557</v>
      </c>
      <c r="M12" s="171"/>
      <c r="N12" s="173" t="s">
        <v>331</v>
      </c>
      <c r="O12" s="185" t="s">
        <v>332</v>
      </c>
      <c r="P12" s="29">
        <f t="shared" ref="P12:Q12" si="6">K46</f>
        <v>23.18</v>
      </c>
      <c r="Q12" s="29">
        <f t="shared" si="6"/>
        <v>10.340001000000001</v>
      </c>
    </row>
    <row r="13" spans="1:17" ht="15">
      <c r="A13" s="942" t="s">
        <v>10</v>
      </c>
      <c r="B13" s="279" t="s">
        <v>469</v>
      </c>
      <c r="C13" s="273" t="s">
        <v>12</v>
      </c>
      <c r="D13" s="36">
        <v>64.837999999999994</v>
      </c>
      <c r="E13" s="36">
        <v>50.601001000000004</v>
      </c>
      <c r="F13" s="171"/>
      <c r="G13" s="872" t="s">
        <v>10</v>
      </c>
      <c r="H13" s="878" t="s">
        <v>11</v>
      </c>
      <c r="I13" s="274" t="s">
        <v>12</v>
      </c>
      <c r="J13" s="272" t="s">
        <v>84</v>
      </c>
      <c r="K13" s="275">
        <f t="shared" si="0"/>
        <v>64.837999999999994</v>
      </c>
      <c r="L13" s="275">
        <f t="shared" si="1"/>
        <v>50.601001000000004</v>
      </c>
      <c r="M13" s="171"/>
      <c r="N13" s="173" t="s">
        <v>333</v>
      </c>
      <c r="O13" s="185" t="s">
        <v>334</v>
      </c>
      <c r="P13" s="29">
        <f t="shared" ref="P13:Q13" si="7">K43</f>
        <v>4075.1959999999995</v>
      </c>
      <c r="Q13" s="29">
        <f t="shared" si="7"/>
        <v>931.78200100000072</v>
      </c>
    </row>
    <row r="14" spans="1:17" ht="15">
      <c r="A14" s="943"/>
      <c r="B14" s="279" t="s">
        <v>611</v>
      </c>
      <c r="C14" s="273" t="s">
        <v>13</v>
      </c>
      <c r="D14" s="36">
        <v>962.20099999999991</v>
      </c>
      <c r="E14" s="36">
        <v>643.10800099999994</v>
      </c>
      <c r="F14" s="171"/>
      <c r="G14" s="873"/>
      <c r="H14" s="879"/>
      <c r="I14" s="274" t="s">
        <v>13</v>
      </c>
      <c r="J14" s="272" t="s">
        <v>85</v>
      </c>
      <c r="K14" s="275">
        <f t="shared" si="0"/>
        <v>962.20099999999991</v>
      </c>
      <c r="L14" s="275">
        <f t="shared" si="1"/>
        <v>643.10800099999994</v>
      </c>
      <c r="M14" s="171"/>
      <c r="N14" s="173" t="s">
        <v>335</v>
      </c>
      <c r="O14" s="185" t="s">
        <v>336</v>
      </c>
      <c r="P14" s="29">
        <f t="shared" ref="P14:Q14" si="8">K9</f>
        <v>42.24</v>
      </c>
      <c r="Q14" s="29">
        <f t="shared" si="8"/>
        <v>9.9999999999999995E-7</v>
      </c>
    </row>
    <row r="15" spans="1:17" ht="15">
      <c r="A15" s="943"/>
      <c r="B15" s="279" t="s">
        <v>471</v>
      </c>
      <c r="C15" s="278" t="s">
        <v>14</v>
      </c>
      <c r="D15" s="36">
        <v>185.45099999999999</v>
      </c>
      <c r="E15" s="36">
        <v>106.24600100000011</v>
      </c>
      <c r="F15" s="171"/>
      <c r="G15" s="873"/>
      <c r="H15" s="879"/>
      <c r="I15" s="274" t="s">
        <v>14</v>
      </c>
      <c r="J15" s="272" t="s">
        <v>86</v>
      </c>
      <c r="K15" s="275">
        <f t="shared" si="0"/>
        <v>185.45099999999999</v>
      </c>
      <c r="L15" s="275">
        <f t="shared" si="1"/>
        <v>106.24600100000011</v>
      </c>
      <c r="M15" s="171"/>
      <c r="N15" s="173" t="s">
        <v>337</v>
      </c>
      <c r="O15" s="185" t="s">
        <v>322</v>
      </c>
      <c r="P15" s="29">
        <f t="shared" ref="P15:Q16" si="9">K47</f>
        <v>39079.252000000997</v>
      </c>
      <c r="Q15" s="29">
        <f t="shared" si="9"/>
        <v>32199.314001002371</v>
      </c>
    </row>
    <row r="16" spans="1:17" ht="15">
      <c r="A16" s="943"/>
      <c r="B16" s="279" t="s">
        <v>474</v>
      </c>
      <c r="C16" s="278" t="s">
        <v>15</v>
      </c>
      <c r="D16" s="36">
        <v>337.5</v>
      </c>
      <c r="E16" s="36">
        <v>27.423001000000003</v>
      </c>
      <c r="F16" s="171"/>
      <c r="G16" s="873"/>
      <c r="H16" s="879"/>
      <c r="I16" s="274" t="s">
        <v>15</v>
      </c>
      <c r="J16" s="272" t="s">
        <v>87</v>
      </c>
      <c r="K16" s="275">
        <f t="shared" si="0"/>
        <v>337.5</v>
      </c>
      <c r="L16" s="275">
        <f t="shared" si="1"/>
        <v>27.423001000000003</v>
      </c>
      <c r="M16" s="171"/>
      <c r="N16" s="173" t="s">
        <v>338</v>
      </c>
      <c r="O16" s="185" t="s">
        <v>339</v>
      </c>
      <c r="P16" s="29">
        <f t="shared" si="9"/>
        <v>109136.85400000068</v>
      </c>
      <c r="Q16" s="29">
        <f t="shared" si="9"/>
        <v>99606.93700100045</v>
      </c>
    </row>
    <row r="17" spans="1:17" ht="15">
      <c r="A17" s="943"/>
      <c r="B17" s="279" t="s">
        <v>475</v>
      </c>
      <c r="C17" s="278" t="s">
        <v>16</v>
      </c>
      <c r="D17" s="36">
        <v>45.498000000000005</v>
      </c>
      <c r="E17" s="36">
        <v>95.400001000000003</v>
      </c>
      <c r="F17" s="171"/>
      <c r="G17" s="873"/>
      <c r="H17" s="879"/>
      <c r="I17" s="274" t="s">
        <v>16</v>
      </c>
      <c r="J17" s="272" t="s">
        <v>88</v>
      </c>
      <c r="K17" s="275">
        <f t="shared" si="0"/>
        <v>45.498000000000005</v>
      </c>
      <c r="L17" s="275">
        <f t="shared" si="1"/>
        <v>95.400001000000003</v>
      </c>
      <c r="M17" s="171"/>
      <c r="N17" s="173" t="s">
        <v>340</v>
      </c>
      <c r="O17" s="185" t="s">
        <v>341</v>
      </c>
      <c r="P17" s="29">
        <f t="shared" ref="P17:Q17" si="10">K54</f>
        <v>1017.992</v>
      </c>
      <c r="Q17" s="29">
        <f t="shared" si="10"/>
        <v>1311.9690010000011</v>
      </c>
    </row>
    <row r="18" spans="1:17" ht="15">
      <c r="A18" s="943"/>
      <c r="B18" s="181" t="s">
        <v>478</v>
      </c>
      <c r="C18" s="278" t="s">
        <v>17</v>
      </c>
      <c r="D18" s="36">
        <v>7.0920000000000005</v>
      </c>
      <c r="E18" s="36">
        <v>4.335001000000001</v>
      </c>
      <c r="F18" s="171"/>
      <c r="G18" s="873"/>
      <c r="H18" s="879"/>
      <c r="I18" s="274" t="s">
        <v>17</v>
      </c>
      <c r="J18" s="272" t="s">
        <v>89</v>
      </c>
      <c r="K18" s="275">
        <f t="shared" si="0"/>
        <v>7.0920000000000005</v>
      </c>
      <c r="L18" s="275">
        <f t="shared" si="1"/>
        <v>4.335001000000001</v>
      </c>
      <c r="M18" s="171"/>
      <c r="N18" s="173" t="s">
        <v>342</v>
      </c>
      <c r="O18" s="185" t="s">
        <v>343</v>
      </c>
      <c r="P18" s="29">
        <f t="shared" ref="P18:Q18" si="11">K49</f>
        <v>120.97</v>
      </c>
      <c r="Q18" s="29">
        <f t="shared" si="11"/>
        <v>58.220000999999996</v>
      </c>
    </row>
    <row r="19" spans="1:17" ht="15">
      <c r="A19" s="943"/>
      <c r="B19" s="181" t="s">
        <v>479</v>
      </c>
      <c r="C19" s="278" t="s">
        <v>18</v>
      </c>
      <c r="D19" s="36">
        <v>16.112000000000002</v>
      </c>
      <c r="E19" s="36">
        <v>0.90000100000000005</v>
      </c>
      <c r="F19" s="171"/>
      <c r="G19" s="873"/>
      <c r="H19" s="879"/>
      <c r="I19" s="274" t="s">
        <v>18</v>
      </c>
      <c r="J19" s="272" t="s">
        <v>90</v>
      </c>
      <c r="K19" s="275">
        <f t="shared" si="0"/>
        <v>16.112000000000002</v>
      </c>
      <c r="L19" s="275">
        <f t="shared" si="1"/>
        <v>0.90000100000000005</v>
      </c>
      <c r="M19" s="171"/>
      <c r="N19" s="173" t="s">
        <v>344</v>
      </c>
      <c r="O19" s="185" t="s">
        <v>345</v>
      </c>
      <c r="P19" s="29">
        <f t="shared" ref="P19:Q20" si="12">K38</f>
        <v>5117.6520000000019</v>
      </c>
      <c r="Q19" s="29">
        <f t="shared" si="12"/>
        <v>6135.9800010002591</v>
      </c>
    </row>
    <row r="20" spans="1:17" ht="15">
      <c r="A20" s="943"/>
      <c r="B20" s="181" t="s">
        <v>480</v>
      </c>
      <c r="C20" s="278" t="s">
        <v>19</v>
      </c>
      <c r="D20" s="36">
        <v>0</v>
      </c>
      <c r="E20" s="36">
        <v>9.9999999999999995E-7</v>
      </c>
      <c r="F20" s="171"/>
      <c r="G20" s="873"/>
      <c r="H20" s="879"/>
      <c r="I20" s="274" t="s">
        <v>19</v>
      </c>
      <c r="J20" s="272" t="s">
        <v>141</v>
      </c>
      <c r="K20" s="275">
        <f t="shared" si="0"/>
        <v>0</v>
      </c>
      <c r="L20" s="275">
        <f t="shared" si="1"/>
        <v>9.9999999999999995E-7</v>
      </c>
      <c r="M20" s="171"/>
      <c r="N20" s="173" t="s">
        <v>346</v>
      </c>
      <c r="O20" s="185" t="s">
        <v>347</v>
      </c>
      <c r="P20" s="29">
        <f t="shared" si="12"/>
        <v>463.81500000000005</v>
      </c>
      <c r="Q20" s="29">
        <f t="shared" si="12"/>
        <v>619.08500099999935</v>
      </c>
    </row>
    <row r="21" spans="1:17" ht="15">
      <c r="A21" s="943"/>
      <c r="B21" s="272" t="s">
        <v>143</v>
      </c>
      <c r="C21" s="278" t="s">
        <v>142</v>
      </c>
      <c r="D21" s="36">
        <v>0</v>
      </c>
      <c r="E21" s="36">
        <v>9.9999999999999995E-7</v>
      </c>
      <c r="F21" s="171"/>
      <c r="G21" s="873"/>
      <c r="H21" s="879"/>
      <c r="I21" s="274" t="s">
        <v>142</v>
      </c>
      <c r="J21" s="272" t="s">
        <v>143</v>
      </c>
      <c r="K21" s="275">
        <f t="shared" si="0"/>
        <v>0</v>
      </c>
      <c r="L21" s="275">
        <f t="shared" si="1"/>
        <v>9.9999999999999995E-7</v>
      </c>
      <c r="M21" s="171"/>
      <c r="N21" s="173" t="s">
        <v>348</v>
      </c>
      <c r="O21" s="185" t="s">
        <v>349</v>
      </c>
      <c r="P21" s="29">
        <f t="shared" ref="P21:Q21" si="13">K76</f>
        <v>276.52499999999998</v>
      </c>
      <c r="Q21" s="29">
        <f t="shared" si="13"/>
        <v>369.28000099999991</v>
      </c>
    </row>
    <row r="22" spans="1:17" ht="15">
      <c r="A22" s="943"/>
      <c r="B22" s="187" t="s">
        <v>481</v>
      </c>
      <c r="C22" s="274" t="s">
        <v>20</v>
      </c>
      <c r="D22" s="36">
        <v>1091.3820000000001</v>
      </c>
      <c r="E22" s="36">
        <v>321.894001</v>
      </c>
      <c r="F22" s="171"/>
      <c r="G22" s="873"/>
      <c r="H22" s="879"/>
      <c r="I22" s="274" t="s">
        <v>20</v>
      </c>
      <c r="J22" s="272" t="s">
        <v>91</v>
      </c>
      <c r="K22" s="275">
        <f t="shared" si="0"/>
        <v>1091.3820000000001</v>
      </c>
      <c r="L22" s="275">
        <f t="shared" si="1"/>
        <v>321.894001</v>
      </c>
      <c r="M22" s="171"/>
      <c r="N22" s="173" t="s">
        <v>350</v>
      </c>
      <c r="O22" s="185" t="s">
        <v>351</v>
      </c>
      <c r="P22" s="29">
        <f>IF(AND(K34="",K35="",K37="",K79=""),"",SUM(K34:K35,K37,K79))</f>
        <v>596.14800000000002</v>
      </c>
      <c r="Q22" s="29">
        <f>IF(AND(L34="",L35="",L37="",L79=""),"",SUM(L34:L35,L37,L79))</f>
        <v>484.02400399999999</v>
      </c>
    </row>
    <row r="23" spans="1:17">
      <c r="A23" s="943"/>
      <c r="B23" s="181" t="s">
        <v>483</v>
      </c>
      <c r="C23" s="278" t="s">
        <v>22</v>
      </c>
      <c r="D23" s="841">
        <v>74.72699999999999</v>
      </c>
      <c r="E23" s="841">
        <v>106.364001</v>
      </c>
      <c r="F23" s="271"/>
      <c r="G23" s="873"/>
      <c r="H23" s="879"/>
      <c r="I23" s="274" t="s">
        <v>21</v>
      </c>
      <c r="J23" s="272" t="s">
        <v>144</v>
      </c>
      <c r="K23" s="280"/>
      <c r="L23" s="280"/>
      <c r="M23" s="271"/>
      <c r="N23" s="173" t="s">
        <v>352</v>
      </c>
      <c r="O23" s="185" t="s">
        <v>353</v>
      </c>
      <c r="P23" s="29">
        <f t="shared" ref="P23:Q23" si="14">K77</f>
        <v>65.201000000000008</v>
      </c>
      <c r="Q23" s="29">
        <f t="shared" si="14"/>
        <v>80.086000999999953</v>
      </c>
    </row>
    <row r="24" spans="1:17" ht="15">
      <c r="A24" s="943"/>
      <c r="B24" s="181" t="s">
        <v>612</v>
      </c>
      <c r="C24" s="278" t="s">
        <v>23</v>
      </c>
      <c r="D24" s="841">
        <v>6630.9249999999993</v>
      </c>
      <c r="E24" s="841">
        <v>3668.0350010000034</v>
      </c>
      <c r="F24" s="171"/>
      <c r="G24" s="873"/>
      <c r="H24" s="879"/>
      <c r="I24" s="274" t="s">
        <v>22</v>
      </c>
      <c r="J24" s="272" t="s">
        <v>92</v>
      </c>
      <c r="K24" s="275">
        <f t="shared" ref="K24:K37" si="15">IF(ISNUMBER(D23),D23,"")</f>
        <v>74.72699999999999</v>
      </c>
      <c r="L24" s="275">
        <f t="shared" ref="L24:L37" si="16">IF(ISNUMBER(E23),E23,"")</f>
        <v>106.364001</v>
      </c>
      <c r="M24" s="171"/>
      <c r="N24" s="173" t="s">
        <v>354</v>
      </c>
      <c r="O24" s="185" t="s">
        <v>355</v>
      </c>
      <c r="P24" s="29">
        <f t="shared" ref="P24:Q24" si="17">K8</f>
        <v>2857.58</v>
      </c>
      <c r="Q24" s="29">
        <f t="shared" si="17"/>
        <v>3084.0380010000031</v>
      </c>
    </row>
    <row r="25" spans="1:17" ht="15">
      <c r="A25" s="943"/>
      <c r="B25" s="181" t="s">
        <v>485</v>
      </c>
      <c r="C25" s="278" t="s">
        <v>24</v>
      </c>
      <c r="D25" s="841">
        <v>1605.1580000000001</v>
      </c>
      <c r="E25" s="841">
        <v>140.345001</v>
      </c>
      <c r="F25" s="171"/>
      <c r="G25" s="873"/>
      <c r="H25" s="879"/>
      <c r="I25" s="274" t="s">
        <v>23</v>
      </c>
      <c r="J25" s="272" t="s">
        <v>93</v>
      </c>
      <c r="K25" s="275">
        <f t="shared" si="15"/>
        <v>6630.9249999999993</v>
      </c>
      <c r="L25" s="275">
        <f t="shared" si="16"/>
        <v>3668.0350010000034</v>
      </c>
      <c r="M25" s="171"/>
      <c r="N25" s="173" t="s">
        <v>356</v>
      </c>
      <c r="O25" s="185" t="s">
        <v>357</v>
      </c>
      <c r="P25" s="29">
        <f>IF(AND(K67="",K68="",K70="",K72=""),"",SUM(K67:K68,K70,K72))</f>
        <v>106497.35299999997</v>
      </c>
      <c r="Q25" s="29">
        <f>IF(AND(L67="",L68="",L70="",L72=""),"",SUM(L67:L68,L70,L72))</f>
        <v>109040.15700300004</v>
      </c>
    </row>
    <row r="26" spans="1:17" ht="15">
      <c r="A26" s="943"/>
      <c r="B26" s="181" t="s">
        <v>486</v>
      </c>
      <c r="C26" s="278" t="s">
        <v>25</v>
      </c>
      <c r="D26" s="841">
        <v>1</v>
      </c>
      <c r="E26" s="841">
        <v>9.9999999999999995E-7</v>
      </c>
      <c r="F26" s="171"/>
      <c r="G26" s="873"/>
      <c r="H26" s="879"/>
      <c r="I26" s="274" t="s">
        <v>24</v>
      </c>
      <c r="J26" s="272" t="s">
        <v>94</v>
      </c>
      <c r="K26" s="275">
        <f t="shared" si="15"/>
        <v>1605.1580000000001</v>
      </c>
      <c r="L26" s="275">
        <f t="shared" si="16"/>
        <v>140.345001</v>
      </c>
      <c r="M26" s="171"/>
      <c r="N26" s="93"/>
      <c r="O26" s="94" t="s">
        <v>407</v>
      </c>
      <c r="P26" s="30"/>
      <c r="Q26" s="31"/>
    </row>
    <row r="27" spans="1:17" ht="15">
      <c r="A27" s="943"/>
      <c r="B27" s="272" t="s">
        <v>147</v>
      </c>
      <c r="C27" s="273" t="s">
        <v>146</v>
      </c>
      <c r="D27" s="841">
        <v>0</v>
      </c>
      <c r="E27" s="841">
        <v>10.220001</v>
      </c>
      <c r="F27" s="171"/>
      <c r="G27" s="873"/>
      <c r="H27" s="879"/>
      <c r="I27" s="274" t="s">
        <v>25</v>
      </c>
      <c r="J27" s="272" t="s">
        <v>145</v>
      </c>
      <c r="K27" s="275">
        <f t="shared" si="15"/>
        <v>1</v>
      </c>
      <c r="L27" s="275">
        <f t="shared" si="16"/>
        <v>9.9999999999999995E-7</v>
      </c>
      <c r="M27" s="171"/>
      <c r="N27" s="173" t="s">
        <v>358</v>
      </c>
      <c r="O27" s="185" t="s">
        <v>84</v>
      </c>
      <c r="P27" s="29">
        <f t="shared" ref="P27:Q27" si="18">K13</f>
        <v>64.837999999999994</v>
      </c>
      <c r="Q27" s="29">
        <f t="shared" si="18"/>
        <v>50.601001000000004</v>
      </c>
    </row>
    <row r="28" spans="1:17" ht="15">
      <c r="A28" s="943"/>
      <c r="B28" s="272" t="s">
        <v>149</v>
      </c>
      <c r="C28" s="273" t="s">
        <v>148</v>
      </c>
      <c r="D28" s="841">
        <v>0</v>
      </c>
      <c r="E28" s="841">
        <v>12.800001</v>
      </c>
      <c r="F28" s="171"/>
      <c r="G28" s="873"/>
      <c r="H28" s="879"/>
      <c r="I28" s="274" t="s">
        <v>146</v>
      </c>
      <c r="J28" s="272" t="s">
        <v>147</v>
      </c>
      <c r="K28" s="275">
        <f t="shared" si="15"/>
        <v>0</v>
      </c>
      <c r="L28" s="275">
        <f t="shared" si="16"/>
        <v>10.220001</v>
      </c>
      <c r="M28" s="171"/>
      <c r="N28" s="173" t="s">
        <v>359</v>
      </c>
      <c r="O28" s="185" t="s">
        <v>90</v>
      </c>
      <c r="P28" s="29">
        <f t="shared" ref="P28:Q28" si="19">K19</f>
        <v>16.112000000000002</v>
      </c>
      <c r="Q28" s="29">
        <f t="shared" si="19"/>
        <v>0.90000100000000005</v>
      </c>
    </row>
    <row r="29" spans="1:17" ht="15">
      <c r="A29" s="943"/>
      <c r="B29" s="183" t="s">
        <v>613</v>
      </c>
      <c r="C29" s="278" t="s">
        <v>26</v>
      </c>
      <c r="D29" s="841">
        <v>0</v>
      </c>
      <c r="E29" s="841">
        <v>9.9999999999999995E-7</v>
      </c>
      <c r="F29" s="171"/>
      <c r="G29" s="873"/>
      <c r="H29" s="879"/>
      <c r="I29" s="274" t="s">
        <v>148</v>
      </c>
      <c r="J29" s="272" t="s">
        <v>149</v>
      </c>
      <c r="K29" s="275">
        <f t="shared" si="15"/>
        <v>0</v>
      </c>
      <c r="L29" s="275">
        <f t="shared" si="16"/>
        <v>12.800001</v>
      </c>
      <c r="M29" s="171"/>
      <c r="N29" s="173" t="s">
        <v>360</v>
      </c>
      <c r="O29" s="185" t="s">
        <v>361</v>
      </c>
      <c r="P29" s="29">
        <f t="shared" ref="P29:Q29" si="20">K17</f>
        <v>45.498000000000005</v>
      </c>
      <c r="Q29" s="29">
        <f t="shared" si="20"/>
        <v>95.400001000000003</v>
      </c>
    </row>
    <row r="30" spans="1:17" ht="15">
      <c r="A30" s="943"/>
      <c r="B30" s="183" t="s">
        <v>614</v>
      </c>
      <c r="C30" s="278" t="s">
        <v>27</v>
      </c>
      <c r="D30" s="841">
        <v>14203.107</v>
      </c>
      <c r="E30" s="841">
        <v>9856.3890010000068</v>
      </c>
      <c r="F30" s="171"/>
      <c r="G30" s="873"/>
      <c r="H30" s="879"/>
      <c r="I30" s="274" t="s">
        <v>26</v>
      </c>
      <c r="J30" s="272" t="s">
        <v>150</v>
      </c>
      <c r="K30" s="275">
        <f t="shared" si="15"/>
        <v>0</v>
      </c>
      <c r="L30" s="275">
        <f t="shared" si="16"/>
        <v>9.9999999999999995E-7</v>
      </c>
      <c r="M30" s="171"/>
      <c r="N30" s="173" t="s">
        <v>362</v>
      </c>
      <c r="O30" s="185" t="s">
        <v>91</v>
      </c>
      <c r="P30" s="29">
        <f t="shared" ref="P30:Q30" si="21">K22</f>
        <v>1091.3820000000001</v>
      </c>
      <c r="Q30" s="29">
        <f t="shared" si="21"/>
        <v>321.894001</v>
      </c>
    </row>
    <row r="31" spans="1:17" ht="15">
      <c r="A31" s="943"/>
      <c r="B31" s="183" t="s">
        <v>491</v>
      </c>
      <c r="C31" s="278" t="s">
        <v>28</v>
      </c>
      <c r="D31" s="36">
        <v>0</v>
      </c>
      <c r="E31" s="36">
        <v>9.9999999999999995E-7</v>
      </c>
      <c r="F31" s="171"/>
      <c r="G31" s="873"/>
      <c r="H31" s="879"/>
      <c r="I31" s="274" t="s">
        <v>27</v>
      </c>
      <c r="J31" s="272" t="s">
        <v>95</v>
      </c>
      <c r="K31" s="275">
        <f t="shared" si="15"/>
        <v>14203.107</v>
      </c>
      <c r="L31" s="275">
        <f t="shared" si="16"/>
        <v>9856.3890010000068</v>
      </c>
      <c r="M31" s="171"/>
      <c r="N31" s="173" t="s">
        <v>363</v>
      </c>
      <c r="O31" s="185" t="s">
        <v>94</v>
      </c>
      <c r="P31" s="29">
        <f t="shared" ref="P31:Q31" si="22">K26</f>
        <v>1605.1580000000001</v>
      </c>
      <c r="Q31" s="29">
        <f t="shared" si="22"/>
        <v>140.345001</v>
      </c>
    </row>
    <row r="32" spans="1:17" ht="15">
      <c r="A32" s="943"/>
      <c r="B32" s="272" t="s">
        <v>97</v>
      </c>
      <c r="C32" s="278" t="s">
        <v>29</v>
      </c>
      <c r="D32" s="36">
        <v>326.60199999999998</v>
      </c>
      <c r="E32" s="36">
        <v>328.70500099999998</v>
      </c>
      <c r="F32" s="171"/>
      <c r="G32" s="873"/>
      <c r="H32" s="879"/>
      <c r="I32" s="274" t="s">
        <v>28</v>
      </c>
      <c r="J32" s="272" t="s">
        <v>96</v>
      </c>
      <c r="K32" s="275">
        <f t="shared" si="15"/>
        <v>0</v>
      </c>
      <c r="L32" s="275">
        <f t="shared" si="16"/>
        <v>9.9999999999999995E-7</v>
      </c>
      <c r="M32" s="171"/>
      <c r="N32" s="173" t="s">
        <v>364</v>
      </c>
      <c r="O32" s="185" t="s">
        <v>87</v>
      </c>
      <c r="P32" s="29">
        <f t="shared" ref="P32:Q32" si="23">K16</f>
        <v>337.5</v>
      </c>
      <c r="Q32" s="29">
        <f t="shared" si="23"/>
        <v>27.423001000000003</v>
      </c>
    </row>
    <row r="33" spans="1:17" ht="15">
      <c r="A33" s="943"/>
      <c r="B33" s="272" t="s">
        <v>98</v>
      </c>
      <c r="C33" s="273" t="s">
        <v>99</v>
      </c>
      <c r="D33" s="36">
        <v>0.04</v>
      </c>
      <c r="E33" s="36">
        <v>9.9999999999999995E-7</v>
      </c>
      <c r="F33" s="171"/>
      <c r="G33" s="873"/>
      <c r="H33" s="879"/>
      <c r="I33" s="274" t="s">
        <v>29</v>
      </c>
      <c r="J33" s="272" t="s">
        <v>97</v>
      </c>
      <c r="K33" s="275">
        <f t="shared" si="15"/>
        <v>326.60199999999998</v>
      </c>
      <c r="L33" s="275">
        <f t="shared" si="16"/>
        <v>328.70500099999998</v>
      </c>
      <c r="M33" s="171"/>
      <c r="N33" s="173" t="s">
        <v>365</v>
      </c>
      <c r="O33" s="185" t="s">
        <v>145</v>
      </c>
      <c r="P33" s="29">
        <f t="shared" ref="P33:Q33" si="24">K27</f>
        <v>1</v>
      </c>
      <c r="Q33" s="29">
        <f t="shared" si="24"/>
        <v>9.9999999999999995E-7</v>
      </c>
    </row>
    <row r="34" spans="1:17" ht="15">
      <c r="A34" s="943"/>
      <c r="B34" s="272" t="s">
        <v>100</v>
      </c>
      <c r="C34" s="273" t="s">
        <v>101</v>
      </c>
      <c r="D34" s="36">
        <v>10.848000000000001</v>
      </c>
      <c r="E34" s="36">
        <v>3.6070010000000003</v>
      </c>
      <c r="F34" s="171"/>
      <c r="G34" s="873"/>
      <c r="H34" s="879"/>
      <c r="I34" s="274" t="s">
        <v>99</v>
      </c>
      <c r="J34" s="272" t="s">
        <v>98</v>
      </c>
      <c r="K34" s="275">
        <f t="shared" si="15"/>
        <v>0.04</v>
      </c>
      <c r="L34" s="275">
        <f t="shared" si="16"/>
        <v>9.9999999999999995E-7</v>
      </c>
      <c r="M34" s="171"/>
      <c r="N34" s="173" t="s">
        <v>366</v>
      </c>
      <c r="O34" s="185" t="s">
        <v>89</v>
      </c>
      <c r="P34" s="29">
        <f t="shared" ref="P34:Q34" si="25">K18</f>
        <v>7.0920000000000005</v>
      </c>
      <c r="Q34" s="29">
        <f t="shared" si="25"/>
        <v>4.335001000000001</v>
      </c>
    </row>
    <row r="35" spans="1:17" ht="15">
      <c r="A35" s="944"/>
      <c r="B35" s="272" t="s">
        <v>615</v>
      </c>
      <c r="C35" s="273" t="s">
        <v>30</v>
      </c>
      <c r="D35" s="36">
        <v>66.614999999999995</v>
      </c>
      <c r="E35" s="36">
        <v>74.453001</v>
      </c>
      <c r="F35" s="171"/>
      <c r="G35" s="873"/>
      <c r="H35" s="879"/>
      <c r="I35" s="274" t="s">
        <v>101</v>
      </c>
      <c r="J35" s="272" t="s">
        <v>100</v>
      </c>
      <c r="K35" s="275">
        <f t="shared" si="15"/>
        <v>10.848000000000001</v>
      </c>
      <c r="L35" s="275">
        <f t="shared" si="16"/>
        <v>3.6070010000000003</v>
      </c>
      <c r="M35" s="171"/>
      <c r="N35" s="173" t="s">
        <v>367</v>
      </c>
      <c r="O35" s="185" t="s">
        <v>141</v>
      </c>
      <c r="P35" s="29">
        <f t="shared" ref="P35:Q35" si="26">K20</f>
        <v>0</v>
      </c>
      <c r="Q35" s="29">
        <f t="shared" si="26"/>
        <v>9.9999999999999995E-7</v>
      </c>
    </row>
    <row r="36" spans="1:17" ht="15">
      <c r="A36" s="942" t="s">
        <v>31</v>
      </c>
      <c r="B36" s="272" t="s">
        <v>102</v>
      </c>
      <c r="C36" s="273" t="s">
        <v>33</v>
      </c>
      <c r="D36" s="36">
        <v>33.189</v>
      </c>
      <c r="E36" s="36">
        <v>177.47700100000003</v>
      </c>
      <c r="F36" s="171"/>
      <c r="G36" s="874"/>
      <c r="H36" s="880"/>
      <c r="I36" s="274" t="s">
        <v>30</v>
      </c>
      <c r="J36" s="272" t="s">
        <v>151</v>
      </c>
      <c r="K36" s="275">
        <f t="shared" si="15"/>
        <v>66.614999999999995</v>
      </c>
      <c r="L36" s="275">
        <f t="shared" si="16"/>
        <v>74.453001</v>
      </c>
      <c r="M36" s="171"/>
      <c r="N36" s="173" t="s">
        <v>368</v>
      </c>
      <c r="O36" s="185" t="s">
        <v>147</v>
      </c>
      <c r="P36" s="29">
        <f t="shared" ref="P36:Q36" si="27">K28</f>
        <v>0</v>
      </c>
      <c r="Q36" s="29">
        <f t="shared" si="27"/>
        <v>10.220001</v>
      </c>
    </row>
    <row r="37" spans="1:17" ht="15">
      <c r="A37" s="944"/>
      <c r="B37" s="272" t="s">
        <v>768</v>
      </c>
      <c r="C37" s="281" t="s">
        <v>500</v>
      </c>
      <c r="D37" s="36">
        <v>552.07100000000003</v>
      </c>
      <c r="E37" s="36">
        <v>302.940001</v>
      </c>
      <c r="F37" s="171"/>
      <c r="G37" s="90" t="s">
        <v>31</v>
      </c>
      <c r="H37" s="91" t="s">
        <v>32</v>
      </c>
      <c r="I37" s="274" t="s">
        <v>33</v>
      </c>
      <c r="J37" s="272" t="s">
        <v>102</v>
      </c>
      <c r="K37" s="275">
        <f t="shared" si="15"/>
        <v>33.189</v>
      </c>
      <c r="L37" s="275">
        <f t="shared" si="16"/>
        <v>177.47700100000003</v>
      </c>
      <c r="M37" s="171"/>
      <c r="N37" s="173" t="s">
        <v>369</v>
      </c>
      <c r="O37" s="185" t="s">
        <v>86</v>
      </c>
      <c r="P37" s="29">
        <f t="shared" ref="P37:Q37" si="28">K15</f>
        <v>185.45099999999999</v>
      </c>
      <c r="Q37" s="29">
        <f t="shared" si="28"/>
        <v>106.24600100000011</v>
      </c>
    </row>
    <row r="38" spans="1:17" ht="15">
      <c r="A38" s="942" t="s">
        <v>34</v>
      </c>
      <c r="B38" s="272" t="s">
        <v>103</v>
      </c>
      <c r="C38" s="273" t="s">
        <v>35</v>
      </c>
      <c r="D38" s="36">
        <v>5117.6520000000019</v>
      </c>
      <c r="E38" s="36">
        <v>6135.9800010002591</v>
      </c>
      <c r="F38" s="171"/>
      <c r="G38" s="872" t="s">
        <v>34</v>
      </c>
      <c r="H38" s="878" t="s">
        <v>152</v>
      </c>
      <c r="I38" s="274" t="s">
        <v>35</v>
      </c>
      <c r="J38" s="272" t="s">
        <v>103</v>
      </c>
      <c r="K38" s="275">
        <f t="shared" ref="K38:K51" si="29">IF(ISNUMBER(D38),D38,"")</f>
        <v>5117.6520000000019</v>
      </c>
      <c r="L38" s="275">
        <f t="shared" ref="L38:L51" si="30">IF(ISNUMBER(E38),E38,"")</f>
        <v>6135.9800010002591</v>
      </c>
      <c r="M38" s="171"/>
      <c r="N38" s="173" t="s">
        <v>370</v>
      </c>
      <c r="O38" s="185" t="s">
        <v>143</v>
      </c>
      <c r="P38" s="29">
        <f t="shared" ref="P38:Q38" si="31">K21</f>
        <v>0</v>
      </c>
      <c r="Q38" s="29">
        <f t="shared" si="31"/>
        <v>9.9999999999999995E-7</v>
      </c>
    </row>
    <row r="39" spans="1:17" ht="15">
      <c r="A39" s="944"/>
      <c r="B39" s="272" t="s">
        <v>104</v>
      </c>
      <c r="C39" s="273" t="s">
        <v>105</v>
      </c>
      <c r="D39" s="36">
        <v>463.81500000000005</v>
      </c>
      <c r="E39" s="36">
        <v>619.08500099999935</v>
      </c>
      <c r="F39" s="171"/>
      <c r="G39" s="874"/>
      <c r="H39" s="880"/>
      <c r="I39" s="274" t="s">
        <v>105</v>
      </c>
      <c r="J39" s="272" t="s">
        <v>104</v>
      </c>
      <c r="K39" s="275">
        <f t="shared" si="29"/>
        <v>463.81500000000005</v>
      </c>
      <c r="L39" s="275">
        <f t="shared" si="30"/>
        <v>619.08500099999935</v>
      </c>
      <c r="M39" s="171"/>
      <c r="N39" s="173" t="s">
        <v>371</v>
      </c>
      <c r="O39" s="185" t="s">
        <v>93</v>
      </c>
      <c r="P39" s="29">
        <f t="shared" ref="P39:Q39" si="32">K25</f>
        <v>6630.9249999999993</v>
      </c>
      <c r="Q39" s="29">
        <f t="shared" si="32"/>
        <v>3668.0350010000034</v>
      </c>
    </row>
    <row r="40" spans="1:17" ht="15">
      <c r="A40" s="942" t="s">
        <v>37</v>
      </c>
      <c r="B40" s="272" t="s">
        <v>106</v>
      </c>
      <c r="C40" s="273" t="s">
        <v>38</v>
      </c>
      <c r="D40" s="36">
        <v>118.869</v>
      </c>
      <c r="E40" s="36">
        <v>86.322000999999986</v>
      </c>
      <c r="F40" s="171"/>
      <c r="G40" s="872" t="s">
        <v>37</v>
      </c>
      <c r="H40" s="878" t="s">
        <v>153</v>
      </c>
      <c r="I40" s="274" t="s">
        <v>38</v>
      </c>
      <c r="J40" s="272" t="s">
        <v>106</v>
      </c>
      <c r="K40" s="275">
        <f t="shared" si="29"/>
        <v>118.869</v>
      </c>
      <c r="L40" s="275">
        <f t="shared" si="30"/>
        <v>86.322000999999986</v>
      </c>
      <c r="M40" s="171"/>
      <c r="N40" s="173" t="s">
        <v>372</v>
      </c>
      <c r="O40" s="185" t="s">
        <v>85</v>
      </c>
      <c r="P40" s="29">
        <f t="shared" ref="P40:Q40" si="33">K14</f>
        <v>962.20099999999991</v>
      </c>
      <c r="Q40" s="29">
        <f t="shared" si="33"/>
        <v>643.10800099999994</v>
      </c>
    </row>
    <row r="41" spans="1:17" ht="15">
      <c r="A41" s="943"/>
      <c r="B41" s="272" t="s">
        <v>616</v>
      </c>
      <c r="C41" s="184" t="s">
        <v>39</v>
      </c>
      <c r="D41" s="36">
        <v>688.5470000000031</v>
      </c>
      <c r="E41" s="36">
        <v>834.22100099988154</v>
      </c>
      <c r="F41" s="171"/>
      <c r="G41" s="873"/>
      <c r="H41" s="879"/>
      <c r="I41" s="274" t="s">
        <v>39</v>
      </c>
      <c r="J41" s="272" t="s">
        <v>107</v>
      </c>
      <c r="K41" s="275">
        <f t="shared" si="29"/>
        <v>688.5470000000031</v>
      </c>
      <c r="L41" s="275">
        <f t="shared" si="30"/>
        <v>834.22100099988154</v>
      </c>
      <c r="M41" s="171"/>
      <c r="N41" s="173" t="s">
        <v>373</v>
      </c>
      <c r="O41" s="185" t="s">
        <v>374</v>
      </c>
      <c r="P41" s="29">
        <f t="shared" ref="P41:Q43" si="34">K10</f>
        <v>25.512999999999998</v>
      </c>
      <c r="Q41" s="29">
        <f t="shared" si="34"/>
        <v>43.68000099999999</v>
      </c>
    </row>
    <row r="42" spans="1:17" ht="15">
      <c r="A42" s="943"/>
      <c r="B42" s="272" t="s">
        <v>108</v>
      </c>
      <c r="C42" s="273" t="s">
        <v>40</v>
      </c>
      <c r="D42" s="36">
        <v>19.541</v>
      </c>
      <c r="E42" s="36">
        <v>13.515000999999991</v>
      </c>
      <c r="F42" s="171"/>
      <c r="G42" s="873"/>
      <c r="H42" s="879"/>
      <c r="I42" s="274" t="s">
        <v>40</v>
      </c>
      <c r="J42" s="272" t="s">
        <v>108</v>
      </c>
      <c r="K42" s="275">
        <f t="shared" si="29"/>
        <v>19.541</v>
      </c>
      <c r="L42" s="275">
        <f t="shared" si="30"/>
        <v>13.515000999999991</v>
      </c>
      <c r="M42" s="171"/>
      <c r="N42" s="173" t="s">
        <v>375</v>
      </c>
      <c r="O42" s="185" t="s">
        <v>82</v>
      </c>
      <c r="P42" s="29">
        <f t="shared" si="34"/>
        <v>6732.6140000000014</v>
      </c>
      <c r="Q42" s="29">
        <f t="shared" si="34"/>
        <v>7247.6330010000065</v>
      </c>
    </row>
    <row r="43" spans="1:17" ht="15">
      <c r="A43" s="944"/>
      <c r="B43" s="272" t="s">
        <v>109</v>
      </c>
      <c r="C43" s="274" t="s">
        <v>41</v>
      </c>
      <c r="D43" s="36">
        <v>4075.1959999999995</v>
      </c>
      <c r="E43" s="36">
        <v>931.78200100000072</v>
      </c>
      <c r="F43" s="171"/>
      <c r="G43" s="874"/>
      <c r="H43" s="880"/>
      <c r="I43" s="274" t="s">
        <v>41</v>
      </c>
      <c r="J43" s="272" t="s">
        <v>109</v>
      </c>
      <c r="K43" s="275">
        <f t="shared" si="29"/>
        <v>4075.1959999999995</v>
      </c>
      <c r="L43" s="275">
        <f t="shared" si="30"/>
        <v>931.78200100000072</v>
      </c>
      <c r="M43" s="171"/>
      <c r="N43" s="173" t="s">
        <v>376</v>
      </c>
      <c r="O43" s="185" t="s">
        <v>83</v>
      </c>
      <c r="P43" s="29">
        <f t="shared" si="34"/>
        <v>133301.06799999994</v>
      </c>
      <c r="Q43" s="29">
        <f t="shared" si="34"/>
        <v>79777.451000999557</v>
      </c>
    </row>
    <row r="44" spans="1:17" ht="15">
      <c r="A44" s="942" t="s">
        <v>42</v>
      </c>
      <c r="B44" s="272" t="s">
        <v>110</v>
      </c>
      <c r="C44" s="184" t="s">
        <v>43</v>
      </c>
      <c r="D44" s="36">
        <v>568.38099999999997</v>
      </c>
      <c r="E44" s="36">
        <v>612.120001</v>
      </c>
      <c r="F44" s="171"/>
      <c r="G44" s="872" t="s">
        <v>42</v>
      </c>
      <c r="H44" s="878" t="s">
        <v>154</v>
      </c>
      <c r="I44" s="274" t="s">
        <v>43</v>
      </c>
      <c r="J44" s="272" t="s">
        <v>110</v>
      </c>
      <c r="K44" s="275">
        <f t="shared" si="29"/>
        <v>568.38099999999997</v>
      </c>
      <c r="L44" s="275">
        <f t="shared" si="30"/>
        <v>612.120001</v>
      </c>
      <c r="M44" s="171"/>
      <c r="N44" s="173" t="s">
        <v>377</v>
      </c>
      <c r="O44" s="185" t="s">
        <v>378</v>
      </c>
      <c r="P44" s="29">
        <f t="shared" ref="P44:Q44" si="35">K71</f>
        <v>74907.101000000068</v>
      </c>
      <c r="Q44" s="29">
        <f t="shared" si="35"/>
        <v>84631.098000999977</v>
      </c>
    </row>
    <row r="45" spans="1:17" ht="15">
      <c r="A45" s="943"/>
      <c r="B45" s="272" t="s">
        <v>111</v>
      </c>
      <c r="C45" s="273" t="s">
        <v>44</v>
      </c>
      <c r="D45" s="36">
        <v>9.1980000000000004</v>
      </c>
      <c r="E45" s="36">
        <v>12.502000999999998</v>
      </c>
      <c r="F45" s="171"/>
      <c r="G45" s="873"/>
      <c r="H45" s="879"/>
      <c r="I45" s="274" t="s">
        <v>44</v>
      </c>
      <c r="J45" s="272" t="s">
        <v>111</v>
      </c>
      <c r="K45" s="275">
        <f t="shared" si="29"/>
        <v>9.1980000000000004</v>
      </c>
      <c r="L45" s="275">
        <f t="shared" si="30"/>
        <v>12.502000999999998</v>
      </c>
      <c r="M45" s="171"/>
      <c r="N45" s="173" t="s">
        <v>379</v>
      </c>
      <c r="O45" s="185" t="s">
        <v>176</v>
      </c>
      <c r="P45" s="29">
        <f t="shared" ref="P45:Q45" si="36">K45</f>
        <v>9.1980000000000004</v>
      </c>
      <c r="Q45" s="29">
        <f t="shared" si="36"/>
        <v>12.502000999999998</v>
      </c>
    </row>
    <row r="46" spans="1:17" ht="15">
      <c r="A46" s="944"/>
      <c r="B46" s="272" t="s">
        <v>155</v>
      </c>
      <c r="C46" s="273" t="s">
        <v>45</v>
      </c>
      <c r="D46" s="36">
        <v>23.18</v>
      </c>
      <c r="E46" s="36">
        <v>10.340001000000001</v>
      </c>
      <c r="F46" s="171"/>
      <c r="G46" s="874"/>
      <c r="H46" s="880"/>
      <c r="I46" s="274" t="s">
        <v>45</v>
      </c>
      <c r="J46" s="272" t="s">
        <v>155</v>
      </c>
      <c r="K46" s="275">
        <f t="shared" si="29"/>
        <v>23.18</v>
      </c>
      <c r="L46" s="275">
        <f t="shared" si="30"/>
        <v>10.340001000000001</v>
      </c>
      <c r="M46" s="171"/>
      <c r="N46" s="173" t="s">
        <v>380</v>
      </c>
      <c r="O46" s="185" t="s">
        <v>381</v>
      </c>
      <c r="P46" s="29">
        <f t="shared" ref="P46:Q46" si="37">K59</f>
        <v>70.47999999999999</v>
      </c>
      <c r="Q46" s="29">
        <f t="shared" si="37"/>
        <v>2.7000010000000003</v>
      </c>
    </row>
    <row r="47" spans="1:17" ht="15">
      <c r="A47" s="942" t="s">
        <v>46</v>
      </c>
      <c r="B47" s="272" t="s">
        <v>617</v>
      </c>
      <c r="C47" s="186" t="s">
        <v>47</v>
      </c>
      <c r="D47" s="36">
        <v>39079.252000000997</v>
      </c>
      <c r="E47" s="36">
        <v>32199.314001002371</v>
      </c>
      <c r="F47" s="171"/>
      <c r="G47" s="872" t="s">
        <v>46</v>
      </c>
      <c r="H47" s="878" t="s">
        <v>156</v>
      </c>
      <c r="I47" s="274" t="s">
        <v>47</v>
      </c>
      <c r="J47" s="272" t="s">
        <v>112</v>
      </c>
      <c r="K47" s="275">
        <f t="shared" si="29"/>
        <v>39079.252000000997</v>
      </c>
      <c r="L47" s="275">
        <f t="shared" si="30"/>
        <v>32199.314001002371</v>
      </c>
      <c r="M47" s="171"/>
      <c r="N47" s="173" t="s">
        <v>382</v>
      </c>
      <c r="O47" s="185" t="s">
        <v>383</v>
      </c>
      <c r="P47" s="29">
        <f t="shared" ref="P47:Q47" si="38">K55</f>
        <v>422.56</v>
      </c>
      <c r="Q47" s="29">
        <f t="shared" si="38"/>
        <v>376.12300099999993</v>
      </c>
    </row>
    <row r="48" spans="1:17" ht="15">
      <c r="A48" s="943"/>
      <c r="B48" s="272" t="s">
        <v>618</v>
      </c>
      <c r="C48" s="273" t="s">
        <v>48</v>
      </c>
      <c r="D48" s="36">
        <v>109136.85400000068</v>
      </c>
      <c r="E48" s="36">
        <v>99606.93700100045</v>
      </c>
      <c r="F48" s="171"/>
      <c r="G48" s="873"/>
      <c r="H48" s="879"/>
      <c r="I48" s="274" t="s">
        <v>48</v>
      </c>
      <c r="J48" s="272" t="s">
        <v>157</v>
      </c>
      <c r="K48" s="275">
        <f t="shared" si="29"/>
        <v>109136.85400000068</v>
      </c>
      <c r="L48" s="275">
        <f t="shared" si="30"/>
        <v>99606.93700100045</v>
      </c>
      <c r="M48" s="171"/>
      <c r="N48" s="173" t="s">
        <v>384</v>
      </c>
      <c r="O48" s="185" t="s">
        <v>106</v>
      </c>
      <c r="P48" s="29">
        <f t="shared" ref="P48:Q48" si="39">K40</f>
        <v>118.869</v>
      </c>
      <c r="Q48" s="29">
        <f t="shared" si="39"/>
        <v>86.322000999999986</v>
      </c>
    </row>
    <row r="49" spans="1:21" ht="15">
      <c r="A49" s="949"/>
      <c r="B49" s="272" t="s">
        <v>619</v>
      </c>
      <c r="C49" s="273" t="s">
        <v>49</v>
      </c>
      <c r="D49" s="36">
        <v>120.97</v>
      </c>
      <c r="E49" s="36">
        <v>58.220000999999996</v>
      </c>
      <c r="F49" s="171"/>
      <c r="G49" s="874"/>
      <c r="H49" s="880"/>
      <c r="I49" s="274" t="s">
        <v>49</v>
      </c>
      <c r="J49" s="272" t="s">
        <v>158</v>
      </c>
      <c r="K49" s="275">
        <f t="shared" si="29"/>
        <v>120.97</v>
      </c>
      <c r="L49" s="275">
        <f t="shared" si="30"/>
        <v>58.220000999999996</v>
      </c>
      <c r="M49" s="171"/>
      <c r="N49" s="173" t="s">
        <v>385</v>
      </c>
      <c r="O49" s="185" t="s">
        <v>108</v>
      </c>
      <c r="P49" s="29">
        <f t="shared" ref="P49:Q49" si="40">K42</f>
        <v>19.541</v>
      </c>
      <c r="Q49" s="29">
        <f t="shared" si="40"/>
        <v>13.515000999999991</v>
      </c>
    </row>
    <row r="50" spans="1:21" ht="15">
      <c r="A50" s="950" t="s">
        <v>50</v>
      </c>
      <c r="B50" s="272" t="s">
        <v>113</v>
      </c>
      <c r="C50" s="273" t="s">
        <v>51</v>
      </c>
      <c r="D50" s="36">
        <v>35940.903999999959</v>
      </c>
      <c r="E50" s="36">
        <v>32858.578001000009</v>
      </c>
      <c r="F50" s="171"/>
      <c r="G50" s="872" t="s">
        <v>50</v>
      </c>
      <c r="H50" s="878" t="s">
        <v>159</v>
      </c>
      <c r="I50" s="274" t="s">
        <v>51</v>
      </c>
      <c r="J50" s="272" t="s">
        <v>113</v>
      </c>
      <c r="K50" s="275">
        <f>IF(OR(ISNUMBER(D50),ISNUMBER(D55)),D50+D55,"")</f>
        <v>59706.997999999956</v>
      </c>
      <c r="L50" s="275">
        <f>IF(OR(ISNUMBER(E50),ISNUMBER(E55)),E50+E55,"")</f>
        <v>49836.941002000065</v>
      </c>
      <c r="M50" s="171"/>
      <c r="N50" s="173" t="s">
        <v>386</v>
      </c>
      <c r="O50" s="185" t="s">
        <v>107</v>
      </c>
      <c r="P50" s="29">
        <f t="shared" ref="P50:Q50" si="41">K41</f>
        <v>688.5470000000031</v>
      </c>
      <c r="Q50" s="29">
        <f t="shared" si="41"/>
        <v>834.22100099988154</v>
      </c>
    </row>
    <row r="51" spans="1:21" ht="15">
      <c r="A51" s="947"/>
      <c r="B51" s="272" t="s">
        <v>114</v>
      </c>
      <c r="C51" s="273" t="s">
        <v>115</v>
      </c>
      <c r="D51" s="36">
        <v>77720.537000003445</v>
      </c>
      <c r="E51" s="36">
        <v>81941.58600100792</v>
      </c>
      <c r="F51" s="171"/>
      <c r="G51" s="873"/>
      <c r="H51" s="879"/>
      <c r="I51" s="274" t="s">
        <v>115</v>
      </c>
      <c r="J51" s="272" t="s">
        <v>114</v>
      </c>
      <c r="K51" s="275">
        <f t="shared" si="29"/>
        <v>77720.537000003445</v>
      </c>
      <c r="L51" s="275">
        <f t="shared" si="30"/>
        <v>81941.58600100792</v>
      </c>
      <c r="M51" s="171"/>
      <c r="N51" s="173" t="s">
        <v>387</v>
      </c>
      <c r="O51" s="185" t="s">
        <v>388</v>
      </c>
      <c r="P51" s="29">
        <f t="shared" ref="P51:Q52" si="42">K57</f>
        <v>0</v>
      </c>
      <c r="Q51" s="29">
        <f t="shared" si="42"/>
        <v>9.9999999999999995E-7</v>
      </c>
    </row>
    <row r="52" spans="1:21">
      <c r="A52" s="947"/>
      <c r="B52" s="187" t="s">
        <v>620</v>
      </c>
      <c r="C52" s="273" t="s">
        <v>621</v>
      </c>
      <c r="D52" s="235"/>
      <c r="E52" s="234"/>
      <c r="F52" s="271"/>
      <c r="G52" s="873"/>
      <c r="H52" s="879"/>
      <c r="I52" s="274" t="s">
        <v>52</v>
      </c>
      <c r="J52" s="272" t="s">
        <v>116</v>
      </c>
      <c r="K52" s="275">
        <f t="shared" ref="K52:K53" si="43">IF(ISNUMBER(D53),D53,"")</f>
        <v>3325.5360000000001</v>
      </c>
      <c r="L52" s="275">
        <f t="shared" ref="L52:L53" si="44">IF(ISNUMBER(E53),E53,"")</f>
        <v>2821.9300009999988</v>
      </c>
      <c r="M52" s="271"/>
      <c r="N52" s="173" t="s">
        <v>389</v>
      </c>
      <c r="O52" s="185" t="s">
        <v>390</v>
      </c>
      <c r="P52" s="29">
        <f t="shared" si="42"/>
        <v>0</v>
      </c>
      <c r="Q52" s="29">
        <f t="shared" si="42"/>
        <v>9.9999999999999995E-7</v>
      </c>
    </row>
    <row r="53" spans="1:21" ht="15">
      <c r="A53" s="947"/>
      <c r="B53" s="272" t="s">
        <v>116</v>
      </c>
      <c r="C53" s="273" t="s">
        <v>52</v>
      </c>
      <c r="D53" s="36">
        <v>3325.5360000000001</v>
      </c>
      <c r="E53" s="36">
        <v>2821.9300009999988</v>
      </c>
      <c r="F53" s="171"/>
      <c r="G53" s="874"/>
      <c r="H53" s="880"/>
      <c r="I53" s="274" t="s">
        <v>118</v>
      </c>
      <c r="J53" s="272" t="s">
        <v>117</v>
      </c>
      <c r="K53" s="275">
        <f t="shared" si="43"/>
        <v>0</v>
      </c>
      <c r="L53" s="275">
        <f t="shared" si="44"/>
        <v>0.10000100000000001</v>
      </c>
      <c r="M53" s="171"/>
      <c r="N53" s="173" t="s">
        <v>391</v>
      </c>
      <c r="O53" s="185" t="s">
        <v>392</v>
      </c>
      <c r="P53" s="29">
        <f t="shared" ref="P53:Q53" si="45">K56</f>
        <v>5.84</v>
      </c>
      <c r="Q53" s="29">
        <f t="shared" si="45"/>
        <v>45.749001</v>
      </c>
    </row>
    <row r="54" spans="1:21" ht="15">
      <c r="A54" s="947"/>
      <c r="B54" s="272" t="s">
        <v>117</v>
      </c>
      <c r="C54" s="273" t="s">
        <v>118</v>
      </c>
      <c r="D54" s="36">
        <v>0</v>
      </c>
      <c r="E54" s="36">
        <v>0.10000100000000001</v>
      </c>
      <c r="F54" s="171"/>
      <c r="G54" s="872" t="s">
        <v>53</v>
      </c>
      <c r="H54" s="878" t="s">
        <v>54</v>
      </c>
      <c r="I54" s="274" t="s">
        <v>55</v>
      </c>
      <c r="J54" s="272" t="s">
        <v>160</v>
      </c>
      <c r="K54" s="275">
        <f t="shared" ref="K54:K64" si="46">IF(ISNUMBER(D56),D56,"")</f>
        <v>1017.992</v>
      </c>
      <c r="L54" s="275">
        <f t="shared" ref="L54:L64" si="47">IF(ISNUMBER(E56),E56,"")</f>
        <v>1311.9690010000011</v>
      </c>
      <c r="M54" s="171"/>
      <c r="N54" s="93"/>
      <c r="O54" s="101" t="s">
        <v>405</v>
      </c>
      <c r="P54" s="30"/>
      <c r="Q54" s="31"/>
    </row>
    <row r="55" spans="1:21" s="287" customFormat="1" ht="15">
      <c r="A55" s="948"/>
      <c r="B55" s="282" t="s">
        <v>784</v>
      </c>
      <c r="C55" s="283" t="s">
        <v>539</v>
      </c>
      <c r="D55" s="36">
        <v>23766.093999999997</v>
      </c>
      <c r="E55" s="36">
        <v>16978.363001000056</v>
      </c>
      <c r="F55" s="190"/>
      <c r="G55" s="873"/>
      <c r="H55" s="879"/>
      <c r="I55" s="274" t="s">
        <v>56</v>
      </c>
      <c r="J55" s="272" t="s">
        <v>161</v>
      </c>
      <c r="K55" s="275">
        <f t="shared" si="46"/>
        <v>422.56</v>
      </c>
      <c r="L55" s="275">
        <f t="shared" si="47"/>
        <v>376.12300099999993</v>
      </c>
      <c r="M55" s="190"/>
      <c r="N55" s="284" t="s">
        <v>393</v>
      </c>
      <c r="O55" s="285" t="s">
        <v>394</v>
      </c>
      <c r="P55" s="286"/>
      <c r="Q55" s="286"/>
      <c r="S55" s="242"/>
      <c r="T55" s="242"/>
    </row>
    <row r="56" spans="1:21" ht="15">
      <c r="A56" s="942" t="s">
        <v>53</v>
      </c>
      <c r="B56" s="272" t="s">
        <v>622</v>
      </c>
      <c r="C56" s="273" t="s">
        <v>55</v>
      </c>
      <c r="D56" s="36">
        <v>1017.992</v>
      </c>
      <c r="E56" s="36">
        <v>1311.9690010000011</v>
      </c>
      <c r="F56" s="171"/>
      <c r="G56" s="873"/>
      <c r="H56" s="879"/>
      <c r="I56" s="274" t="s">
        <v>57</v>
      </c>
      <c r="J56" s="272" t="s">
        <v>162</v>
      </c>
      <c r="K56" s="275">
        <f t="shared" si="46"/>
        <v>5.84</v>
      </c>
      <c r="L56" s="275">
        <f t="shared" si="47"/>
        <v>45.749001</v>
      </c>
      <c r="M56" s="171"/>
      <c r="N56" s="173" t="s">
        <v>395</v>
      </c>
      <c r="O56" s="185" t="s">
        <v>396</v>
      </c>
      <c r="P56" s="286"/>
      <c r="Q56" s="286"/>
    </row>
    <row r="57" spans="1:21" ht="15">
      <c r="A57" s="943"/>
      <c r="B57" s="272" t="s">
        <v>161</v>
      </c>
      <c r="C57" s="273" t="s">
        <v>56</v>
      </c>
      <c r="D57" s="36">
        <v>422.56</v>
      </c>
      <c r="E57" s="36">
        <v>376.12300099999993</v>
      </c>
      <c r="F57" s="171"/>
      <c r="G57" s="873"/>
      <c r="H57" s="879"/>
      <c r="I57" s="274" t="s">
        <v>120</v>
      </c>
      <c r="J57" s="272" t="s">
        <v>119</v>
      </c>
      <c r="K57" s="275">
        <f t="shared" si="46"/>
        <v>0</v>
      </c>
      <c r="L57" s="275">
        <f t="shared" si="47"/>
        <v>9.9999999999999995E-7</v>
      </c>
      <c r="M57" s="171"/>
      <c r="N57" s="100"/>
      <c r="O57" s="101" t="s">
        <v>408</v>
      </c>
      <c r="P57" s="33"/>
      <c r="Q57" s="34"/>
    </row>
    <row r="58" spans="1:21" ht="15">
      <c r="A58" s="943"/>
      <c r="B58" s="272" t="s">
        <v>623</v>
      </c>
      <c r="C58" s="273" t="s">
        <v>57</v>
      </c>
      <c r="D58" s="36">
        <v>5.84</v>
      </c>
      <c r="E58" s="36">
        <v>45.749001</v>
      </c>
      <c r="F58" s="171"/>
      <c r="G58" s="873"/>
      <c r="H58" s="879"/>
      <c r="I58" s="274" t="s">
        <v>122</v>
      </c>
      <c r="J58" s="272" t="s">
        <v>121</v>
      </c>
      <c r="K58" s="275">
        <f t="shared" si="46"/>
        <v>0</v>
      </c>
      <c r="L58" s="275">
        <f t="shared" si="47"/>
        <v>9.9999999999999995E-7</v>
      </c>
      <c r="M58" s="171"/>
      <c r="N58" s="89">
        <v>1</v>
      </c>
      <c r="O58" s="104" t="s">
        <v>397</v>
      </c>
      <c r="P58" s="35">
        <f t="shared" ref="P58" si="48">IF(OR(ISNUMBER(K23),ISNUMBER(K24),ISNUMBER(K29),ISNUMBER(K30)),SUM(K23:K24,K29:K30),"")</f>
        <v>74.72699999999999</v>
      </c>
      <c r="Q58" s="35">
        <f>IF(OR(ISNUMBER(L23),ISNUMBER(L24),ISNUMBER(L29),ISNUMBER(L30)),SUM(L23:L24,L29:L30),"")</f>
        <v>119.16400299999999</v>
      </c>
      <c r="U58" s="288"/>
    </row>
    <row r="59" spans="1:21" ht="15">
      <c r="A59" s="943"/>
      <c r="B59" s="272" t="s">
        <v>119</v>
      </c>
      <c r="C59" s="273" t="s">
        <v>120</v>
      </c>
      <c r="D59" s="36">
        <v>0</v>
      </c>
      <c r="E59" s="36">
        <v>9.9999999999999995E-7</v>
      </c>
      <c r="F59" s="171"/>
      <c r="G59" s="873"/>
      <c r="H59" s="879"/>
      <c r="I59" s="274" t="s">
        <v>124</v>
      </c>
      <c r="J59" s="272" t="s">
        <v>123</v>
      </c>
      <c r="K59" s="275">
        <f t="shared" si="46"/>
        <v>70.47999999999999</v>
      </c>
      <c r="L59" s="275">
        <f t="shared" si="47"/>
        <v>2.7000010000000003</v>
      </c>
      <c r="M59" s="171"/>
      <c r="N59" s="89">
        <v>2</v>
      </c>
      <c r="O59" s="104" t="s">
        <v>398</v>
      </c>
      <c r="P59" s="35">
        <f>IF(OR(ISNUMBER(K31),ISNUMBER(K32),ISNUMBER(K33),ISNUMBER(K36)),SUM(K31:K33,K36),"")</f>
        <v>14596.324000000001</v>
      </c>
      <c r="Q59" s="35">
        <f>IF(OR(ISNUMBER(L31),ISNUMBER(L32),ISNUMBER(L33),ISNUMBER(L36)),SUM(L31:L33,L36),"")</f>
        <v>10259.547004000007</v>
      </c>
      <c r="U59" s="288"/>
    </row>
    <row r="60" spans="1:21" ht="15">
      <c r="A60" s="943"/>
      <c r="B60" s="272" t="s">
        <v>121</v>
      </c>
      <c r="C60" s="273" t="s">
        <v>122</v>
      </c>
      <c r="D60" s="36">
        <v>0</v>
      </c>
      <c r="E60" s="36">
        <v>9.9999999999999995E-7</v>
      </c>
      <c r="F60" s="171"/>
      <c r="G60" s="873"/>
      <c r="H60" s="879"/>
      <c r="I60" s="274" t="s">
        <v>58</v>
      </c>
      <c r="J60" s="272" t="s">
        <v>136</v>
      </c>
      <c r="K60" s="275">
        <f t="shared" si="46"/>
        <v>48.622</v>
      </c>
      <c r="L60" s="275">
        <f t="shared" si="47"/>
        <v>152.930001</v>
      </c>
      <c r="M60" s="171"/>
      <c r="N60" s="89">
        <v>3</v>
      </c>
      <c r="O60" s="104" t="s">
        <v>323</v>
      </c>
      <c r="P60" s="35">
        <f t="shared" ref="P60:Q60" si="49">IF(OR(ISNUMBER(K60),ISNUMBER(K61),ISNUMBER(K62),ISNUMBER(K63)),SUM(K60:K63),"")</f>
        <v>430.49299999999994</v>
      </c>
      <c r="Q60" s="35">
        <f t="shared" si="49"/>
        <v>492.89000400000009</v>
      </c>
      <c r="U60" s="288"/>
    </row>
    <row r="61" spans="1:21" ht="15">
      <c r="A61" s="943"/>
      <c r="B61" s="272" t="s">
        <v>123</v>
      </c>
      <c r="C61" s="273" t="s">
        <v>124</v>
      </c>
      <c r="D61" s="36">
        <v>70.47999999999999</v>
      </c>
      <c r="E61" s="36">
        <v>2.7000010000000003</v>
      </c>
      <c r="F61" s="171"/>
      <c r="G61" s="873"/>
      <c r="H61" s="879"/>
      <c r="I61" s="274" t="s">
        <v>59</v>
      </c>
      <c r="J61" s="272" t="s">
        <v>125</v>
      </c>
      <c r="K61" s="275">
        <f t="shared" si="46"/>
        <v>215.35399999999998</v>
      </c>
      <c r="L61" s="275">
        <f t="shared" si="47"/>
        <v>106.52000099999999</v>
      </c>
      <c r="M61" s="171"/>
      <c r="N61" s="89">
        <v>4</v>
      </c>
      <c r="O61" s="104" t="s">
        <v>159</v>
      </c>
      <c r="P61" s="35">
        <f>IF(OR(ISNUMBER(K50),ISNUMBER(K51),ISNUMBER(K52),ISNUMBER(K53)),SUM(K50:K53),"")</f>
        <v>140753.0710000034</v>
      </c>
      <c r="Q61" s="35">
        <f>IF(OR(ISNUMBER(L49),ISNUMBER(L50),ISNUMBER(L52),ISNUMBER(L53)),SUM(L49:L53),"")</f>
        <v>134658.77700600799</v>
      </c>
      <c r="U61" s="288"/>
    </row>
    <row r="62" spans="1:21" ht="15">
      <c r="A62" s="943"/>
      <c r="B62" s="272" t="s">
        <v>136</v>
      </c>
      <c r="C62" s="273" t="s">
        <v>58</v>
      </c>
      <c r="D62" s="36">
        <v>48.622</v>
      </c>
      <c r="E62" s="36">
        <v>152.930001</v>
      </c>
      <c r="F62" s="171"/>
      <c r="G62" s="873"/>
      <c r="H62" s="879"/>
      <c r="I62" s="274" t="s">
        <v>60</v>
      </c>
      <c r="J62" s="272" t="s">
        <v>163</v>
      </c>
      <c r="K62" s="275">
        <f t="shared" si="46"/>
        <v>162.86699999999999</v>
      </c>
      <c r="L62" s="275">
        <f t="shared" si="47"/>
        <v>233.44000100000008</v>
      </c>
      <c r="M62" s="171"/>
      <c r="N62" s="89">
        <v>5</v>
      </c>
      <c r="O62" s="82" t="s">
        <v>399</v>
      </c>
      <c r="P62" s="35" t="str">
        <f>K64</f>
        <v/>
      </c>
      <c r="Q62" s="35" t="str">
        <f>L64</f>
        <v/>
      </c>
      <c r="U62" s="288"/>
    </row>
    <row r="63" spans="1:21" ht="15">
      <c r="A63" s="943"/>
      <c r="B63" s="272" t="s">
        <v>125</v>
      </c>
      <c r="C63" s="273" t="s">
        <v>59</v>
      </c>
      <c r="D63" s="36">
        <v>215.35399999999998</v>
      </c>
      <c r="E63" s="36">
        <v>106.52000099999999</v>
      </c>
      <c r="F63" s="171"/>
      <c r="G63" s="874"/>
      <c r="H63" s="880"/>
      <c r="I63" s="274" t="s">
        <v>61</v>
      </c>
      <c r="J63" s="272" t="s">
        <v>126</v>
      </c>
      <c r="K63" s="275">
        <f t="shared" si="46"/>
        <v>3.65</v>
      </c>
      <c r="L63" s="275">
        <f t="shared" si="47"/>
        <v>9.9999999999999995E-7</v>
      </c>
      <c r="M63" s="171"/>
      <c r="N63" s="89">
        <v>6</v>
      </c>
      <c r="O63" s="105" t="s">
        <v>462</v>
      </c>
      <c r="P63" s="35">
        <f t="shared" ref="P63:Q63" si="50">K65</f>
        <v>163384.5</v>
      </c>
      <c r="Q63" s="35">
        <f t="shared" si="50"/>
        <v>161200.5</v>
      </c>
      <c r="U63" s="288"/>
    </row>
    <row r="64" spans="1:21" ht="15">
      <c r="A64" s="943"/>
      <c r="B64" s="272" t="s">
        <v>163</v>
      </c>
      <c r="C64" s="273" t="s">
        <v>60</v>
      </c>
      <c r="D64" s="36">
        <v>162.86699999999999</v>
      </c>
      <c r="E64" s="36">
        <v>233.44000100000008</v>
      </c>
      <c r="F64" s="171"/>
      <c r="G64" s="872" t="s">
        <v>62</v>
      </c>
      <c r="H64" s="878" t="s">
        <v>164</v>
      </c>
      <c r="I64" s="274" t="s">
        <v>63</v>
      </c>
      <c r="J64" s="272" t="s">
        <v>165</v>
      </c>
      <c r="K64" s="275" t="str">
        <f t="shared" si="46"/>
        <v/>
      </c>
      <c r="L64" s="275" t="str">
        <f t="shared" si="47"/>
        <v/>
      </c>
      <c r="M64" s="171"/>
      <c r="N64" s="89">
        <v>7</v>
      </c>
      <c r="O64" s="105" t="s">
        <v>463</v>
      </c>
      <c r="P64" s="35">
        <f>IF(OR(ISNUMBER(K66),ISNUMBER(K69)),SUM(K66,K69),"")</f>
        <v>3916.590999999999</v>
      </c>
      <c r="Q64" s="35">
        <f>IF(OR(ISNUMBER(L66),ISNUMBER(L69)),SUM(L66,L69),"")</f>
        <v>4247.0100019999973</v>
      </c>
      <c r="U64" s="288"/>
    </row>
    <row r="65" spans="1:21" ht="15">
      <c r="A65" s="944"/>
      <c r="B65" s="272" t="s">
        <v>126</v>
      </c>
      <c r="C65" s="273" t="s">
        <v>61</v>
      </c>
      <c r="D65" s="36">
        <v>3.65</v>
      </c>
      <c r="E65" s="36">
        <v>9.9999999999999995E-7</v>
      </c>
      <c r="F65" s="171"/>
      <c r="G65" s="873"/>
      <c r="H65" s="879"/>
      <c r="I65" s="274" t="s">
        <v>64</v>
      </c>
      <c r="J65" s="272" t="s">
        <v>127</v>
      </c>
      <c r="K65" s="275">
        <f>IF(ISNUMBER(D67),D67,"")</f>
        <v>163384.5</v>
      </c>
      <c r="L65" s="275">
        <f>IF(ISNUMBER(E67),E67,"")</f>
        <v>161200.5</v>
      </c>
      <c r="M65" s="171"/>
      <c r="N65" s="89">
        <v>8</v>
      </c>
      <c r="O65" s="104" t="s">
        <v>133</v>
      </c>
      <c r="P65" s="35" t="str">
        <f>K78</f>
        <v/>
      </c>
      <c r="Q65" s="35" t="str">
        <f>L78</f>
        <v/>
      </c>
      <c r="U65" s="288"/>
    </row>
    <row r="66" spans="1:21" ht="15">
      <c r="A66" s="946" t="s">
        <v>62</v>
      </c>
      <c r="B66" s="272" t="s">
        <v>624</v>
      </c>
      <c r="C66" s="273" t="s">
        <v>63</v>
      </c>
      <c r="D66" s="36"/>
      <c r="E66" s="36"/>
      <c r="F66" s="171"/>
      <c r="G66" s="873"/>
      <c r="H66" s="879"/>
      <c r="I66" s="274" t="s">
        <v>65</v>
      </c>
      <c r="J66" s="272" t="s">
        <v>166</v>
      </c>
      <c r="K66" s="275">
        <f t="shared" ref="K66:L71" si="51">IF(ISNUMBER(D68),D68,"")</f>
        <v>366.5859999999999</v>
      </c>
      <c r="L66" s="275">
        <f t="shared" si="51"/>
        <v>551.72000100000002</v>
      </c>
      <c r="M66" s="171"/>
      <c r="P66" s="288"/>
      <c r="Q66" s="288"/>
      <c r="U66" s="288"/>
    </row>
    <row r="67" spans="1:21">
      <c r="A67" s="947"/>
      <c r="B67" s="289" t="s">
        <v>803</v>
      </c>
      <c r="C67" s="193" t="s">
        <v>64</v>
      </c>
      <c r="D67" s="36">
        <f>157899+0.5*10971</f>
        <v>163384.5</v>
      </c>
      <c r="E67" s="36">
        <f>155715+0.5*10971</f>
        <v>161200.5</v>
      </c>
      <c r="F67" s="271"/>
      <c r="G67" s="873"/>
      <c r="H67" s="879"/>
      <c r="I67" s="274" t="s">
        <v>66</v>
      </c>
      <c r="J67" s="272" t="s">
        <v>173</v>
      </c>
      <c r="K67" s="275">
        <f t="shared" si="51"/>
        <v>2438.0029999999997</v>
      </c>
      <c r="L67" s="275">
        <f t="shared" si="51"/>
        <v>4080.7710010000005</v>
      </c>
      <c r="M67" s="271"/>
    </row>
    <row r="68" spans="1:21" ht="15">
      <c r="A68" s="947"/>
      <c r="B68" s="272" t="s">
        <v>166</v>
      </c>
      <c r="C68" s="194" t="s">
        <v>65</v>
      </c>
      <c r="D68" s="841">
        <v>366.5859999999999</v>
      </c>
      <c r="E68" s="841">
        <v>551.72000100000002</v>
      </c>
      <c r="F68" s="171"/>
      <c r="G68" s="873"/>
      <c r="H68" s="879"/>
      <c r="I68" s="274" t="s">
        <v>67</v>
      </c>
      <c r="J68" s="272" t="s">
        <v>174</v>
      </c>
      <c r="K68" s="275">
        <f t="shared" si="51"/>
        <v>6221.1439999999993</v>
      </c>
      <c r="L68" s="275">
        <f t="shared" si="51"/>
        <v>5054.0650010000008</v>
      </c>
      <c r="M68" s="171"/>
    </row>
    <row r="69" spans="1:21" ht="15">
      <c r="A69" s="947"/>
      <c r="B69" s="187" t="s">
        <v>571</v>
      </c>
      <c r="C69" s="194" t="s">
        <v>66</v>
      </c>
      <c r="D69" s="841">
        <v>2438.0029999999997</v>
      </c>
      <c r="E69" s="841">
        <v>4080.7710010000005</v>
      </c>
      <c r="F69" s="171"/>
      <c r="G69" s="873"/>
      <c r="H69" s="879"/>
      <c r="I69" s="274" t="s">
        <v>68</v>
      </c>
      <c r="J69" s="272" t="s">
        <v>175</v>
      </c>
      <c r="K69" s="275">
        <f t="shared" si="51"/>
        <v>3550.0049999999992</v>
      </c>
      <c r="L69" s="275">
        <f t="shared" si="51"/>
        <v>3695.2900009999971</v>
      </c>
      <c r="M69" s="171"/>
    </row>
    <row r="70" spans="1:21" ht="15">
      <c r="A70" s="947"/>
      <c r="B70" s="272" t="s">
        <v>174</v>
      </c>
      <c r="C70" s="273" t="s">
        <v>67</v>
      </c>
      <c r="D70" s="841">
        <v>6221.1439999999993</v>
      </c>
      <c r="E70" s="841">
        <v>5054.0650010000008</v>
      </c>
      <c r="F70" s="171"/>
      <c r="G70" s="873"/>
      <c r="H70" s="879"/>
      <c r="I70" s="274" t="s">
        <v>128</v>
      </c>
      <c r="J70" s="272" t="s">
        <v>167</v>
      </c>
      <c r="K70" s="286">
        <f t="shared" si="51"/>
        <v>97838.205999999976</v>
      </c>
      <c r="L70" s="286">
        <f t="shared" si="51"/>
        <v>99905.321001000048</v>
      </c>
      <c r="M70" s="171"/>
    </row>
    <row r="71" spans="1:21" ht="15">
      <c r="A71" s="947"/>
      <c r="B71" s="272" t="s">
        <v>419</v>
      </c>
      <c r="C71" s="273" t="s">
        <v>68</v>
      </c>
      <c r="D71" s="838">
        <v>3550.0049999999992</v>
      </c>
      <c r="E71" s="36">
        <v>3695.2900009999971</v>
      </c>
      <c r="F71" s="171"/>
      <c r="G71" s="873"/>
      <c r="H71" s="879"/>
      <c r="I71" s="274" t="s">
        <v>69</v>
      </c>
      <c r="J71" s="272" t="s">
        <v>129</v>
      </c>
      <c r="K71" s="275">
        <f t="shared" si="51"/>
        <v>74907.101000000068</v>
      </c>
      <c r="L71" s="275">
        <f t="shared" si="51"/>
        <v>84631.098000999977</v>
      </c>
      <c r="M71" s="171"/>
    </row>
    <row r="72" spans="1:21" ht="15">
      <c r="A72" s="947"/>
      <c r="B72" s="272" t="s">
        <v>167</v>
      </c>
      <c r="C72" s="273" t="s">
        <v>128</v>
      </c>
      <c r="D72" s="36">
        <v>97838.205999999976</v>
      </c>
      <c r="E72" s="36">
        <v>99905.321001000048</v>
      </c>
      <c r="F72" s="171"/>
      <c r="G72" s="874"/>
      <c r="H72" s="880"/>
      <c r="I72" s="274" t="s">
        <v>70</v>
      </c>
      <c r="J72" s="272" t="s">
        <v>168</v>
      </c>
      <c r="K72" s="280"/>
      <c r="L72" s="280"/>
      <c r="M72" s="171"/>
    </row>
    <row r="73" spans="1:21" ht="15">
      <c r="A73" s="948"/>
      <c r="B73" s="272" t="s">
        <v>129</v>
      </c>
      <c r="C73" s="273" t="s">
        <v>69</v>
      </c>
      <c r="D73" s="36">
        <v>74907.101000000068</v>
      </c>
      <c r="E73" s="36">
        <v>84631.098000999977</v>
      </c>
      <c r="F73" s="171"/>
      <c r="G73" s="872" t="s">
        <v>71</v>
      </c>
      <c r="H73" s="878" t="s">
        <v>169</v>
      </c>
      <c r="I73" s="274" t="s">
        <v>72</v>
      </c>
      <c r="J73" s="272" t="s">
        <v>170</v>
      </c>
      <c r="K73" s="275">
        <f t="shared" ref="K73:L78" si="52">IF(ISNUMBER(D74),D74,"")</f>
        <v>14230.204000000522</v>
      </c>
      <c r="L73" s="275">
        <f t="shared" si="52"/>
        <v>12880.958001002788</v>
      </c>
      <c r="M73" s="171"/>
    </row>
    <row r="74" spans="1:21">
      <c r="A74" s="942" t="s">
        <v>71</v>
      </c>
      <c r="B74" s="272" t="s">
        <v>170</v>
      </c>
      <c r="C74" s="184" t="s">
        <v>72</v>
      </c>
      <c r="D74" s="36">
        <v>14230.204000000522</v>
      </c>
      <c r="E74" s="36">
        <v>12880.958001002788</v>
      </c>
      <c r="F74" s="271"/>
      <c r="G74" s="873"/>
      <c r="H74" s="879"/>
      <c r="I74" s="274" t="s">
        <v>73</v>
      </c>
      <c r="J74" s="272" t="s">
        <v>130</v>
      </c>
      <c r="K74" s="275">
        <f t="shared" si="52"/>
        <v>773.05099999999982</v>
      </c>
      <c r="L74" s="275">
        <f t="shared" si="52"/>
        <v>549.02600099999972</v>
      </c>
      <c r="M74" s="271"/>
    </row>
    <row r="75" spans="1:21" ht="15">
      <c r="A75" s="943"/>
      <c r="B75" s="272" t="s">
        <v>625</v>
      </c>
      <c r="C75" s="184" t="s">
        <v>73</v>
      </c>
      <c r="D75" s="36">
        <v>773.05099999999982</v>
      </c>
      <c r="E75" s="36">
        <v>549.02600099999972</v>
      </c>
      <c r="F75" s="171"/>
      <c r="G75" s="874"/>
      <c r="H75" s="880"/>
      <c r="I75" s="274" t="s">
        <v>74</v>
      </c>
      <c r="J75" s="272" t="s">
        <v>131</v>
      </c>
      <c r="K75" s="275">
        <f t="shared" si="52"/>
        <v>19.461000000000002</v>
      </c>
      <c r="L75" s="275">
        <f t="shared" si="52"/>
        <v>370.54900100000009</v>
      </c>
      <c r="M75" s="171"/>
    </row>
    <row r="76" spans="1:21" ht="15">
      <c r="A76" s="944"/>
      <c r="B76" s="272" t="s">
        <v>131</v>
      </c>
      <c r="C76" s="184" t="s">
        <v>74</v>
      </c>
      <c r="D76" s="36">
        <v>19.461000000000002</v>
      </c>
      <c r="E76" s="36">
        <v>370.54900100000009</v>
      </c>
      <c r="F76" s="171"/>
      <c r="G76" s="872" t="s">
        <v>75</v>
      </c>
      <c r="H76" s="878" t="s">
        <v>76</v>
      </c>
      <c r="I76" s="274" t="s">
        <v>77</v>
      </c>
      <c r="J76" s="272" t="s">
        <v>171</v>
      </c>
      <c r="K76" s="275">
        <f t="shared" si="52"/>
        <v>276.52499999999998</v>
      </c>
      <c r="L76" s="275">
        <f t="shared" si="52"/>
        <v>369.28000099999991</v>
      </c>
      <c r="M76" s="171"/>
    </row>
    <row r="77" spans="1:21" ht="15">
      <c r="A77" s="942" t="s">
        <v>75</v>
      </c>
      <c r="B77" s="272" t="s">
        <v>626</v>
      </c>
      <c r="C77" s="273" t="s">
        <v>77</v>
      </c>
      <c r="D77" s="36">
        <v>276.52499999999998</v>
      </c>
      <c r="E77" s="36">
        <v>369.28000099999991</v>
      </c>
      <c r="F77" s="171"/>
      <c r="G77" s="873"/>
      <c r="H77" s="879"/>
      <c r="I77" s="274" t="s">
        <v>78</v>
      </c>
      <c r="J77" s="272" t="s">
        <v>132</v>
      </c>
      <c r="K77" s="275">
        <f t="shared" si="52"/>
        <v>65.201000000000008</v>
      </c>
      <c r="L77" s="275">
        <f>IF(ISNUMBER(E78),E78,"")</f>
        <v>80.086000999999953</v>
      </c>
      <c r="M77" s="171"/>
    </row>
    <row r="78" spans="1:21" ht="15">
      <c r="A78" s="943"/>
      <c r="B78" s="272" t="s">
        <v>132</v>
      </c>
      <c r="C78" s="273" t="s">
        <v>78</v>
      </c>
      <c r="D78" s="36">
        <v>65.201000000000008</v>
      </c>
      <c r="E78" s="36">
        <v>80.086000999999953</v>
      </c>
      <c r="F78" s="171"/>
      <c r="G78" s="873"/>
      <c r="H78" s="879"/>
      <c r="I78" s="274" t="s">
        <v>134</v>
      </c>
      <c r="J78" s="272" t="s">
        <v>133</v>
      </c>
      <c r="K78" s="286" t="str">
        <f t="shared" si="52"/>
        <v/>
      </c>
      <c r="L78" s="286" t="str">
        <f t="shared" si="52"/>
        <v/>
      </c>
      <c r="M78" s="171"/>
    </row>
    <row r="79" spans="1:21" ht="15">
      <c r="A79" s="945"/>
      <c r="B79" s="272" t="s">
        <v>133</v>
      </c>
      <c r="C79" s="273" t="s">
        <v>134</v>
      </c>
      <c r="D79" s="37"/>
      <c r="E79" s="37"/>
      <c r="F79" s="171"/>
      <c r="G79" s="874"/>
      <c r="H79" s="880"/>
      <c r="I79" s="274" t="s">
        <v>172</v>
      </c>
      <c r="J79" s="272" t="s">
        <v>135</v>
      </c>
      <c r="K79" s="275">
        <f>IF(ISNUMBER(D37),D37,"")</f>
        <v>552.07100000000003</v>
      </c>
      <c r="L79" s="275">
        <f>IF(ISNUMBER(E37),E37,"")</f>
        <v>302.940001</v>
      </c>
      <c r="M79" s="171"/>
    </row>
    <row r="80" spans="1:21" s="69" customFormat="1" ht="18.75" customHeight="1">
      <c r="D80" s="109"/>
      <c r="E80" s="110" t="s">
        <v>867</v>
      </c>
      <c r="F80" s="109"/>
      <c r="G80" s="111"/>
      <c r="H80" s="112"/>
      <c r="M80" s="106"/>
      <c r="N80" s="107"/>
    </row>
    <row r="81" spans="2:13" ht="15">
      <c r="B81" s="290"/>
      <c r="C81" s="271"/>
      <c r="D81" s="171"/>
      <c r="E81" s="171"/>
      <c r="F81" s="171"/>
      <c r="M81" s="171"/>
    </row>
    <row r="82" spans="2:13" ht="15">
      <c r="B82" s="290"/>
      <c r="C82" s="290"/>
      <c r="D82" s="171"/>
      <c r="E82" s="171"/>
      <c r="F82" s="171"/>
      <c r="M82" s="171"/>
    </row>
    <row r="83" spans="2:13" ht="18.75">
      <c r="B83" s="292" t="s">
        <v>845</v>
      </c>
      <c r="D83" s="171"/>
      <c r="E83" s="171"/>
      <c r="F83" s="171"/>
      <c r="M83" s="171"/>
    </row>
    <row r="84" spans="2:13" ht="45">
      <c r="B84" s="842" t="s">
        <v>1020</v>
      </c>
      <c r="C84" s="293"/>
      <c r="D84" s="171"/>
      <c r="E84" s="171"/>
      <c r="F84" s="171"/>
      <c r="H84" s="117"/>
      <c r="M84" s="171"/>
    </row>
    <row r="85" spans="2:13" ht="30">
      <c r="B85" s="842" t="s">
        <v>1021</v>
      </c>
      <c r="D85" s="171"/>
      <c r="E85" s="171"/>
      <c r="F85" s="171"/>
      <c r="M85" s="171"/>
    </row>
    <row r="86" spans="2:13" ht="15">
      <c r="B86" s="39"/>
      <c r="F86" s="171"/>
      <c r="M86" s="171"/>
    </row>
    <row r="87" spans="2:13">
      <c r="B87" s="39"/>
    </row>
    <row r="88" spans="2:13">
      <c r="B88" s="38"/>
    </row>
    <row r="89" spans="2:13">
      <c r="B89" s="38"/>
    </row>
    <row r="90" spans="2:13">
      <c r="B90" s="38"/>
    </row>
    <row r="91" spans="2:13">
      <c r="B91" s="38"/>
    </row>
    <row r="92" spans="2:13">
      <c r="B92" s="38"/>
    </row>
    <row r="93" spans="2:13">
      <c r="B93" s="40"/>
    </row>
  </sheetData>
  <mergeCells count="39">
    <mergeCell ref="A13:A35"/>
    <mergeCell ref="A8:A10"/>
    <mergeCell ref="A66:A73"/>
    <mergeCell ref="A47:A49"/>
    <mergeCell ref="A44:A46"/>
    <mergeCell ref="A40:A43"/>
    <mergeCell ref="A38:A39"/>
    <mergeCell ref="A36:A37"/>
    <mergeCell ref="A50:A55"/>
    <mergeCell ref="A56:A65"/>
    <mergeCell ref="A74:A76"/>
    <mergeCell ref="A77:A79"/>
    <mergeCell ref="H73:H75"/>
    <mergeCell ref="H76:H79"/>
    <mergeCell ref="H50:H53"/>
    <mergeCell ref="G76:G79"/>
    <mergeCell ref="H47:H49"/>
    <mergeCell ref="H54:H63"/>
    <mergeCell ref="H64:H72"/>
    <mergeCell ref="H8:H10"/>
    <mergeCell ref="H13:H36"/>
    <mergeCell ref="H38:H39"/>
    <mergeCell ref="H40:H43"/>
    <mergeCell ref="H44:H46"/>
    <mergeCell ref="P6:Q6"/>
    <mergeCell ref="G6:J6"/>
    <mergeCell ref="K6:L6"/>
    <mergeCell ref="N6:O6"/>
    <mergeCell ref="A6:E6"/>
    <mergeCell ref="G8:G10"/>
    <mergeCell ref="G13:G36"/>
    <mergeCell ref="G38:G39"/>
    <mergeCell ref="G40:G43"/>
    <mergeCell ref="G44:G46"/>
    <mergeCell ref="G47:G49"/>
    <mergeCell ref="G50:G53"/>
    <mergeCell ref="G54:G63"/>
    <mergeCell ref="G64:G72"/>
    <mergeCell ref="G73:G75"/>
  </mergeCells>
  <conditionalFormatting sqref="D8:E51 D53:E67">
    <cfRule type="expression" dxfId="64" priority="6">
      <formula>ISNUMBER(D8)</formula>
    </cfRule>
  </conditionalFormatting>
  <conditionalFormatting sqref="D68:E73">
    <cfRule type="expression" dxfId="63" priority="3">
      <formula>ISNUMBER(D68)</formula>
    </cfRule>
  </conditionalFormatting>
  <conditionalFormatting sqref="D74:E79">
    <cfRule type="expression" dxfId="62" priority="2">
      <formula>ISNUMBER(D74)</formula>
    </cfRule>
  </conditionalFormatting>
  <conditionalFormatting sqref="C3">
    <cfRule type="expression" dxfId="61" priority="1">
      <formula>ISTEXT(C3)</formula>
    </cfRule>
  </conditionalFormatting>
  <dataValidations count="1">
    <dataValidation type="list" allowBlank="1" showInputMessage="1" showErrorMessage="1" sqref="C3">
      <formula1>"Yes, No"</formula1>
    </dataValidation>
  </dataValidations>
  <hyperlinks>
    <hyperlink ref="B4" location="Instructions_to_users" display="Instructions to users (hyperlink)"/>
  </hyperlinks>
  <pageMargins left="0.25" right="0.25" top="0.75" bottom="0.75" header="0.3" footer="0.3"/>
  <pageSetup paperSize="9" scale="80" fitToWidth="0" orientation="portrait" r:id="rId1"/>
  <legacyDrawing r:id="rId2"/>
</worksheet>
</file>

<file path=xl/worksheets/sheet6.xml><?xml version="1.0" encoding="utf-8"?>
<worksheet xmlns="http://schemas.openxmlformats.org/spreadsheetml/2006/main" xmlns:r="http://schemas.openxmlformats.org/officeDocument/2006/relationships">
  <sheetPr>
    <tabColor rgb="FF00B050"/>
  </sheetPr>
  <dimension ref="A1:BC587"/>
  <sheetViews>
    <sheetView zoomScale="80" zoomScaleNormal="80" workbookViewId="0">
      <pane ySplit="7" topLeftCell="A8" activePane="bottomLeft" state="frozen"/>
      <selection activeCell="E62" sqref="E62"/>
      <selection pane="bottomLeft" activeCell="A8" sqref="A8:A10"/>
    </sheetView>
  </sheetViews>
  <sheetFormatPr defaultRowHeight="15"/>
  <cols>
    <col min="1" max="1" width="5.7109375" style="339" customWidth="1"/>
    <col min="2" max="2" width="97.5703125" style="339" customWidth="1"/>
    <col min="3" max="3" width="11.28515625" style="339" customWidth="1"/>
    <col min="4" max="4" width="14.28515625" style="387" customWidth="1"/>
    <col min="5" max="5" width="13" style="387" customWidth="1"/>
    <col min="6" max="6" width="9.7109375" style="336" customWidth="1"/>
    <col min="7" max="7" width="7.7109375" style="381" customWidth="1"/>
    <col min="8" max="8" width="20.5703125" style="358" customWidth="1"/>
    <col min="9" max="9" width="9.140625" style="339"/>
    <col min="10" max="10" width="91.5703125" style="339" customWidth="1"/>
    <col min="11" max="11" width="14.28515625" style="339" customWidth="1"/>
    <col min="12" max="12" width="13.28515625" style="339" customWidth="1"/>
    <col min="13" max="13" width="9.140625" style="337"/>
    <col min="14" max="14" width="9.7109375" style="339" bestFit="1" customWidth="1"/>
    <col min="15" max="15" width="69.5703125" style="339" customWidth="1"/>
    <col min="16" max="16" width="14.140625" style="339" customWidth="1"/>
    <col min="17" max="17" width="13.85546875" style="339" customWidth="1"/>
    <col min="18" max="55" width="9.140625" style="338"/>
    <col min="56" max="16384" width="9.140625" style="339"/>
  </cols>
  <sheetData>
    <row r="1" spans="1:55" s="299" customFormat="1" ht="21.75" thickBot="1">
      <c r="A1" s="298" t="s">
        <v>794</v>
      </c>
      <c r="E1" s="300"/>
      <c r="F1" s="301"/>
      <c r="G1" s="301"/>
      <c r="H1" s="301"/>
      <c r="I1" s="300"/>
      <c r="J1" s="302"/>
      <c r="K1" s="303"/>
      <c r="L1" s="303"/>
      <c r="M1" s="304"/>
      <c r="N1" s="302"/>
      <c r="O1" s="303"/>
      <c r="Q1" s="305"/>
      <c r="R1" s="305"/>
      <c r="S1" s="305"/>
      <c r="T1" s="305"/>
      <c r="U1" s="305"/>
      <c r="V1" s="301"/>
      <c r="W1" s="306"/>
      <c r="X1" s="306"/>
      <c r="Y1" s="305"/>
      <c r="Z1" s="305"/>
      <c r="AA1" s="305"/>
      <c r="AB1" s="305"/>
      <c r="AC1" s="305"/>
      <c r="AD1" s="305"/>
      <c r="AE1" s="305"/>
      <c r="AF1" s="305"/>
      <c r="AG1" s="305"/>
      <c r="AH1" s="305"/>
      <c r="AI1" s="305"/>
      <c r="AJ1" s="305"/>
      <c r="AK1" s="305"/>
      <c r="AL1" s="305"/>
      <c r="AM1" s="305"/>
      <c r="AN1" s="305"/>
      <c r="AO1" s="305"/>
      <c r="AP1" s="305"/>
      <c r="AQ1" s="305"/>
      <c r="AR1" s="305"/>
      <c r="AS1" s="305"/>
      <c r="AT1" s="305"/>
      <c r="AU1" s="305"/>
      <c r="AV1" s="305"/>
      <c r="AW1" s="305"/>
      <c r="AX1" s="305"/>
      <c r="AY1" s="305"/>
      <c r="AZ1" s="305"/>
      <c r="BA1" s="305"/>
      <c r="BB1" s="305"/>
      <c r="BC1" s="305"/>
    </row>
    <row r="2" spans="1:55" s="308" customFormat="1">
      <c r="A2" s="307" t="s">
        <v>410</v>
      </c>
      <c r="E2" s="309"/>
      <c r="F2" s="245" t="s">
        <v>444</v>
      </c>
      <c r="G2" s="310"/>
      <c r="H2" s="311"/>
      <c r="I2" s="312" t="s">
        <v>400</v>
      </c>
      <c r="J2" s="313"/>
      <c r="K2" s="314"/>
      <c r="M2" s="315"/>
      <c r="N2" s="316"/>
      <c r="P2" s="317"/>
      <c r="Q2" s="317"/>
      <c r="R2" s="317"/>
      <c r="V2" s="315"/>
    </row>
    <row r="3" spans="1:55" s="308" customFormat="1" ht="18.75">
      <c r="A3" s="318"/>
      <c r="B3" s="141" t="s">
        <v>804</v>
      </c>
      <c r="C3" s="294"/>
      <c r="E3" s="319"/>
      <c r="F3" s="251" t="s">
        <v>445</v>
      </c>
      <c r="G3" s="320"/>
      <c r="H3" s="321"/>
      <c r="I3" s="322"/>
      <c r="J3" s="323" t="s">
        <v>785</v>
      </c>
      <c r="M3" s="315"/>
      <c r="N3" s="316"/>
      <c r="V3" s="315"/>
    </row>
    <row r="4" spans="1:55" s="308" customFormat="1">
      <c r="B4" s="61" t="s">
        <v>866</v>
      </c>
      <c r="C4" s="324"/>
      <c r="E4" s="258"/>
      <c r="F4" s="251" t="s">
        <v>851</v>
      </c>
      <c r="G4" s="320"/>
      <c r="H4" s="321"/>
      <c r="I4" s="325"/>
      <c r="J4" s="326"/>
      <c r="M4" s="315"/>
      <c r="N4" s="316"/>
      <c r="V4" s="315"/>
    </row>
    <row r="5" spans="1:55" s="308" customFormat="1" ht="15.75" thickBot="1">
      <c r="A5" s="327"/>
      <c r="E5" s="262"/>
      <c r="F5" s="328" t="s">
        <v>852</v>
      </c>
      <c r="G5" s="329"/>
      <c r="H5" s="330"/>
      <c r="I5" s="331"/>
      <c r="J5" s="332"/>
      <c r="M5" s="315"/>
      <c r="N5" s="316"/>
      <c r="P5" s="333"/>
      <c r="Q5" s="333"/>
      <c r="R5" s="333"/>
      <c r="V5" s="315"/>
    </row>
    <row r="6" spans="1:55" ht="21.75" customHeight="1">
      <c r="A6" s="334" t="s">
        <v>411</v>
      </c>
      <c r="B6" s="335"/>
      <c r="C6" s="335"/>
      <c r="D6" s="967"/>
      <c r="E6" s="968"/>
      <c r="G6" s="969" t="s">
        <v>402</v>
      </c>
      <c r="H6" s="970"/>
      <c r="I6" s="970"/>
      <c r="J6" s="971"/>
      <c r="K6" s="975" t="s">
        <v>401</v>
      </c>
      <c r="L6" s="976"/>
      <c r="N6" s="972" t="s">
        <v>403</v>
      </c>
      <c r="O6" s="971"/>
      <c r="P6" s="973" t="s">
        <v>401</v>
      </c>
      <c r="Q6" s="974"/>
    </row>
    <row r="7" spans="1:55" ht="25.5">
      <c r="A7" s="340" t="s">
        <v>0</v>
      </c>
      <c r="B7" s="341" t="s">
        <v>1</v>
      </c>
      <c r="C7" s="342" t="s">
        <v>2</v>
      </c>
      <c r="D7" s="343" t="s">
        <v>668</v>
      </c>
      <c r="E7" s="343" t="s">
        <v>669</v>
      </c>
      <c r="G7" s="344" t="s">
        <v>781</v>
      </c>
      <c r="H7" s="345" t="s">
        <v>409</v>
      </c>
      <c r="I7" s="346" t="s">
        <v>782</v>
      </c>
      <c r="J7" s="347" t="s">
        <v>404</v>
      </c>
      <c r="K7" s="348" t="s">
        <v>668</v>
      </c>
      <c r="L7" s="348" t="s">
        <v>669</v>
      </c>
      <c r="N7" s="349" t="s">
        <v>0</v>
      </c>
      <c r="O7" s="350" t="s">
        <v>406</v>
      </c>
      <c r="P7" s="351" t="s">
        <v>668</v>
      </c>
      <c r="Q7" s="351" t="s">
        <v>669</v>
      </c>
    </row>
    <row r="8" spans="1:55" ht="12.75" customHeight="1">
      <c r="A8" s="960" t="s">
        <v>3</v>
      </c>
      <c r="B8" s="352" t="s">
        <v>244</v>
      </c>
      <c r="C8" s="353" t="s">
        <v>316</v>
      </c>
      <c r="D8" s="295">
        <v>117.64</v>
      </c>
      <c r="E8" s="295">
        <v>115.79</v>
      </c>
      <c r="F8" s="354"/>
      <c r="G8" s="951" t="s">
        <v>3</v>
      </c>
      <c r="H8" s="977" t="s">
        <v>137</v>
      </c>
      <c r="I8" s="355" t="s">
        <v>4</v>
      </c>
      <c r="J8" s="356" t="s">
        <v>79</v>
      </c>
      <c r="K8" s="357">
        <f t="shared" ref="K8:K37" si="0">IF(ISNUMBER(D8),D8,"")</f>
        <v>117.64</v>
      </c>
      <c r="L8" s="357">
        <f t="shared" ref="L8:L37" si="1">IF(ISNUMBER(E8),E8,"")</f>
        <v>115.79</v>
      </c>
      <c r="M8" s="358"/>
      <c r="N8" s="359" t="s">
        <v>324</v>
      </c>
      <c r="O8" s="360" t="s">
        <v>325</v>
      </c>
      <c r="P8" s="357">
        <f>K73</f>
        <v>2804.55</v>
      </c>
      <c r="Q8" s="357">
        <f>L73</f>
        <v>3427.28</v>
      </c>
    </row>
    <row r="9" spans="1:55" ht="12.75">
      <c r="A9" s="961"/>
      <c r="B9" s="352" t="s">
        <v>233</v>
      </c>
      <c r="C9" s="353" t="s">
        <v>306</v>
      </c>
      <c r="D9" s="295">
        <v>0.5</v>
      </c>
      <c r="E9" s="295">
        <v>2.16</v>
      </c>
      <c r="F9" s="354"/>
      <c r="G9" s="952"/>
      <c r="H9" s="978"/>
      <c r="I9" s="355" t="s">
        <v>138</v>
      </c>
      <c r="J9" s="356" t="s">
        <v>139</v>
      </c>
      <c r="K9" s="357">
        <f t="shared" si="0"/>
        <v>0.5</v>
      </c>
      <c r="L9" s="357">
        <f t="shared" si="1"/>
        <v>2.16</v>
      </c>
      <c r="M9" s="358"/>
      <c r="N9" s="359" t="s">
        <v>326</v>
      </c>
      <c r="O9" s="360" t="s">
        <v>327</v>
      </c>
      <c r="P9" s="357">
        <f>K75</f>
        <v>4.3099999999999996</v>
      </c>
      <c r="Q9" s="357">
        <f>L75</f>
        <v>6.66</v>
      </c>
    </row>
    <row r="10" spans="1:55" ht="12.75">
      <c r="A10" s="962"/>
      <c r="B10" s="352" t="s">
        <v>194</v>
      </c>
      <c r="C10" s="353" t="s">
        <v>267</v>
      </c>
      <c r="D10" s="295">
        <v>3.01</v>
      </c>
      <c r="E10" s="295">
        <v>6.01</v>
      </c>
      <c r="F10" s="354"/>
      <c r="G10" s="953"/>
      <c r="H10" s="979"/>
      <c r="I10" s="355" t="s">
        <v>81</v>
      </c>
      <c r="J10" s="356" t="s">
        <v>80</v>
      </c>
      <c r="K10" s="357">
        <f t="shared" si="0"/>
        <v>3.01</v>
      </c>
      <c r="L10" s="357">
        <f t="shared" si="1"/>
        <v>6.01</v>
      </c>
      <c r="M10" s="358"/>
      <c r="N10" s="359" t="s">
        <v>328</v>
      </c>
      <c r="O10" s="360" t="s">
        <v>130</v>
      </c>
      <c r="P10" s="357">
        <f>K74</f>
        <v>431.84</v>
      </c>
      <c r="Q10" s="357">
        <f>L74</f>
        <v>342.61</v>
      </c>
    </row>
    <row r="11" spans="1:55" ht="12.75">
      <c r="A11" s="361" t="s">
        <v>5</v>
      </c>
      <c r="B11" s="352" t="s">
        <v>177</v>
      </c>
      <c r="C11" s="353" t="s">
        <v>250</v>
      </c>
      <c r="D11" s="295">
        <v>282.23</v>
      </c>
      <c r="E11" s="295">
        <v>518.36</v>
      </c>
      <c r="F11" s="354"/>
      <c r="G11" s="362" t="s">
        <v>5</v>
      </c>
      <c r="H11" s="363" t="s">
        <v>6</v>
      </c>
      <c r="I11" s="355" t="s">
        <v>7</v>
      </c>
      <c r="J11" s="356" t="s">
        <v>82</v>
      </c>
      <c r="K11" s="357">
        <f t="shared" si="0"/>
        <v>282.23</v>
      </c>
      <c r="L11" s="357">
        <f t="shared" si="1"/>
        <v>518.36</v>
      </c>
      <c r="M11" s="358"/>
      <c r="N11" s="359" t="s">
        <v>329</v>
      </c>
      <c r="O11" s="360" t="s">
        <v>330</v>
      </c>
      <c r="P11" s="357">
        <f>K44</f>
        <v>7.32</v>
      </c>
      <c r="Q11" s="357">
        <f>L44</f>
        <v>3.96</v>
      </c>
    </row>
    <row r="12" spans="1:55" ht="12.75">
      <c r="A12" s="364" t="s">
        <v>8</v>
      </c>
      <c r="B12" s="352" t="s">
        <v>183</v>
      </c>
      <c r="C12" s="353" t="s">
        <v>256</v>
      </c>
      <c r="D12" s="295">
        <v>8503.2610000000004</v>
      </c>
      <c r="E12" s="295">
        <v>9745.0400000000009</v>
      </c>
      <c r="F12" s="354"/>
      <c r="G12" s="362" t="s">
        <v>8</v>
      </c>
      <c r="H12" s="363" t="s">
        <v>140</v>
      </c>
      <c r="I12" s="355" t="s">
        <v>9</v>
      </c>
      <c r="J12" s="356" t="s">
        <v>83</v>
      </c>
      <c r="K12" s="357">
        <f t="shared" si="0"/>
        <v>8503.2610000000004</v>
      </c>
      <c r="L12" s="357">
        <f t="shared" si="1"/>
        <v>9745.0400000000009</v>
      </c>
      <c r="M12" s="358"/>
      <c r="N12" s="359" t="s">
        <v>331</v>
      </c>
      <c r="O12" s="360" t="s">
        <v>332</v>
      </c>
      <c r="P12" s="357">
        <f>K46</f>
        <v>60.49</v>
      </c>
      <c r="Q12" s="357">
        <f>L46</f>
        <v>53.93</v>
      </c>
    </row>
    <row r="13" spans="1:55" ht="12.75">
      <c r="A13" s="960" t="s">
        <v>10</v>
      </c>
      <c r="B13" s="352" t="s">
        <v>209</v>
      </c>
      <c r="C13" s="353" t="s">
        <v>282</v>
      </c>
      <c r="D13" s="295">
        <v>5.38</v>
      </c>
      <c r="E13" s="295">
        <v>0.01</v>
      </c>
      <c r="F13" s="354"/>
      <c r="G13" s="951" t="s">
        <v>10</v>
      </c>
      <c r="H13" s="957" t="s">
        <v>11</v>
      </c>
      <c r="I13" s="355" t="s">
        <v>12</v>
      </c>
      <c r="J13" s="356" t="s">
        <v>84</v>
      </c>
      <c r="K13" s="357">
        <f t="shared" si="0"/>
        <v>5.38</v>
      </c>
      <c r="L13" s="357">
        <f t="shared" si="1"/>
        <v>0.01</v>
      </c>
      <c r="M13" s="358"/>
      <c r="N13" s="359" t="s">
        <v>333</v>
      </c>
      <c r="O13" s="360" t="s">
        <v>334</v>
      </c>
      <c r="P13" s="357">
        <f>K43</f>
        <v>0</v>
      </c>
      <c r="Q13" s="357">
        <f>L43</f>
        <v>3.78</v>
      </c>
    </row>
    <row r="14" spans="1:55" ht="12.75">
      <c r="A14" s="961"/>
      <c r="B14" s="352" t="s">
        <v>204</v>
      </c>
      <c r="C14" s="353" t="s">
        <v>277</v>
      </c>
      <c r="D14" s="295">
        <v>0.02</v>
      </c>
      <c r="E14" s="295">
        <v>2.56</v>
      </c>
      <c r="F14" s="354"/>
      <c r="G14" s="952"/>
      <c r="H14" s="958"/>
      <c r="I14" s="355" t="s">
        <v>13</v>
      </c>
      <c r="J14" s="356" t="s">
        <v>85</v>
      </c>
      <c r="K14" s="357">
        <f t="shared" si="0"/>
        <v>0.02</v>
      </c>
      <c r="L14" s="357">
        <f t="shared" si="1"/>
        <v>2.56</v>
      </c>
      <c r="M14" s="358"/>
      <c r="N14" s="359" t="s">
        <v>335</v>
      </c>
      <c r="O14" s="360" t="s">
        <v>336</v>
      </c>
      <c r="P14" s="357">
        <f>K9</f>
        <v>0.5</v>
      </c>
      <c r="Q14" s="357">
        <f>L9</f>
        <v>2.16</v>
      </c>
    </row>
    <row r="15" spans="1:55" ht="12.75">
      <c r="A15" s="961"/>
      <c r="B15" s="352" t="s">
        <v>208</v>
      </c>
      <c r="C15" s="353" t="s">
        <v>281</v>
      </c>
      <c r="D15" s="295">
        <v>67.66</v>
      </c>
      <c r="E15" s="295">
        <v>164.51</v>
      </c>
      <c r="F15" s="354"/>
      <c r="G15" s="952"/>
      <c r="H15" s="958"/>
      <c r="I15" s="355" t="s">
        <v>14</v>
      </c>
      <c r="J15" s="356" t="s">
        <v>86</v>
      </c>
      <c r="K15" s="357">
        <f t="shared" si="0"/>
        <v>67.66</v>
      </c>
      <c r="L15" s="357">
        <f t="shared" si="1"/>
        <v>164.51</v>
      </c>
      <c r="M15" s="358"/>
      <c r="N15" s="359" t="s">
        <v>337</v>
      </c>
      <c r="O15" s="360" t="s">
        <v>322</v>
      </c>
      <c r="P15" s="357">
        <f t="shared" ref="P15:Q16" si="2">K47</f>
        <v>742.00199999999995</v>
      </c>
      <c r="Q15" s="357">
        <f t="shared" si="2"/>
        <v>1764.6</v>
      </c>
    </row>
    <row r="16" spans="1:55" ht="12.75">
      <c r="A16" s="961"/>
      <c r="B16" s="352" t="s">
        <v>180</v>
      </c>
      <c r="C16" s="353" t="s">
        <v>253</v>
      </c>
      <c r="D16" s="295">
        <v>0.1</v>
      </c>
      <c r="E16" s="295">
        <v>0.02</v>
      </c>
      <c r="F16" s="354"/>
      <c r="G16" s="952"/>
      <c r="H16" s="958"/>
      <c r="I16" s="355" t="s">
        <v>15</v>
      </c>
      <c r="J16" s="356" t="s">
        <v>87</v>
      </c>
      <c r="K16" s="357">
        <f t="shared" si="0"/>
        <v>0.1</v>
      </c>
      <c r="L16" s="357">
        <f t="shared" si="1"/>
        <v>0.02</v>
      </c>
      <c r="M16" s="358"/>
      <c r="N16" s="359" t="s">
        <v>338</v>
      </c>
      <c r="O16" s="360" t="s">
        <v>339</v>
      </c>
      <c r="P16" s="357">
        <f t="shared" si="2"/>
        <v>1810.72</v>
      </c>
      <c r="Q16" s="357">
        <f t="shared" si="2"/>
        <v>2018.08</v>
      </c>
    </row>
    <row r="17" spans="1:17" ht="12.75">
      <c r="A17" s="961"/>
      <c r="B17" s="352" t="s">
        <v>189</v>
      </c>
      <c r="C17" s="353" t="s">
        <v>262</v>
      </c>
      <c r="D17" s="295">
        <v>0</v>
      </c>
      <c r="E17" s="295">
        <v>0</v>
      </c>
      <c r="F17" s="354"/>
      <c r="G17" s="952"/>
      <c r="H17" s="958"/>
      <c r="I17" s="355" t="s">
        <v>16</v>
      </c>
      <c r="J17" s="356" t="s">
        <v>88</v>
      </c>
      <c r="K17" s="357">
        <f t="shared" si="0"/>
        <v>0</v>
      </c>
      <c r="L17" s="357">
        <f t="shared" si="1"/>
        <v>0</v>
      </c>
      <c r="M17" s="358"/>
      <c r="N17" s="359" t="s">
        <v>340</v>
      </c>
      <c r="O17" s="360" t="s">
        <v>341</v>
      </c>
      <c r="P17" s="357">
        <f>K54</f>
        <v>16.16</v>
      </c>
      <c r="Q17" s="357">
        <f>L54</f>
        <v>29.92</v>
      </c>
    </row>
    <row r="18" spans="1:17" ht="12.75">
      <c r="A18" s="961"/>
      <c r="B18" s="352" t="s">
        <v>186</v>
      </c>
      <c r="C18" s="353" t="s">
        <v>259</v>
      </c>
      <c r="D18" s="295">
        <v>0.14000000000000001</v>
      </c>
      <c r="E18" s="295">
        <v>1.7</v>
      </c>
      <c r="F18" s="354"/>
      <c r="G18" s="952"/>
      <c r="H18" s="958"/>
      <c r="I18" s="355" t="s">
        <v>17</v>
      </c>
      <c r="J18" s="356" t="s">
        <v>89</v>
      </c>
      <c r="K18" s="357">
        <f t="shared" si="0"/>
        <v>0.14000000000000001</v>
      </c>
      <c r="L18" s="357">
        <f t="shared" si="1"/>
        <v>1.7</v>
      </c>
      <c r="M18" s="358"/>
      <c r="N18" s="359" t="s">
        <v>342</v>
      </c>
      <c r="O18" s="360" t="s">
        <v>343</v>
      </c>
      <c r="P18" s="357">
        <f>K49</f>
        <v>2370.0500000000002</v>
      </c>
      <c r="Q18" s="357">
        <f>L49</f>
        <v>42.79</v>
      </c>
    </row>
    <row r="19" spans="1:17" ht="12.75">
      <c r="A19" s="961"/>
      <c r="B19" s="352" t="s">
        <v>184</v>
      </c>
      <c r="C19" s="353" t="s">
        <v>257</v>
      </c>
      <c r="D19" s="295">
        <v>0</v>
      </c>
      <c r="E19" s="295">
        <v>0</v>
      </c>
      <c r="F19" s="354"/>
      <c r="G19" s="952"/>
      <c r="H19" s="958"/>
      <c r="I19" s="355" t="s">
        <v>18</v>
      </c>
      <c r="J19" s="356" t="s">
        <v>90</v>
      </c>
      <c r="K19" s="357">
        <f t="shared" si="0"/>
        <v>0</v>
      </c>
      <c r="L19" s="357">
        <f t="shared" si="1"/>
        <v>0</v>
      </c>
      <c r="M19" s="358"/>
      <c r="N19" s="359" t="s">
        <v>344</v>
      </c>
      <c r="O19" s="360" t="s">
        <v>345</v>
      </c>
      <c r="P19" s="357">
        <f t="shared" ref="P19:Q20" si="3">K38</f>
        <v>1083.33</v>
      </c>
      <c r="Q19" s="357">
        <f t="shared" si="3"/>
        <v>1472.68</v>
      </c>
    </row>
    <row r="20" spans="1:17" ht="12.75">
      <c r="A20" s="961"/>
      <c r="B20" s="352" t="s">
        <v>179</v>
      </c>
      <c r="C20" s="353" t="s">
        <v>252</v>
      </c>
      <c r="D20" s="295">
        <v>0</v>
      </c>
      <c r="E20" s="295">
        <v>0</v>
      </c>
      <c r="F20" s="354"/>
      <c r="G20" s="952"/>
      <c r="H20" s="958"/>
      <c r="I20" s="355" t="s">
        <v>19</v>
      </c>
      <c r="J20" s="356" t="s">
        <v>141</v>
      </c>
      <c r="K20" s="357">
        <f t="shared" si="0"/>
        <v>0</v>
      </c>
      <c r="L20" s="357">
        <f t="shared" si="1"/>
        <v>0</v>
      </c>
      <c r="M20" s="358"/>
      <c r="N20" s="359" t="s">
        <v>346</v>
      </c>
      <c r="O20" s="360" t="s">
        <v>347</v>
      </c>
      <c r="P20" s="357">
        <f t="shared" si="3"/>
        <v>304.7</v>
      </c>
      <c r="Q20" s="357">
        <f t="shared" si="3"/>
        <v>555.54999999999995</v>
      </c>
    </row>
    <row r="21" spans="1:17" ht="12.75">
      <c r="A21" s="961"/>
      <c r="B21" s="352" t="s">
        <v>227</v>
      </c>
      <c r="C21" s="353" t="s">
        <v>300</v>
      </c>
      <c r="D21" s="295">
        <v>0</v>
      </c>
      <c r="E21" s="295">
        <v>0</v>
      </c>
      <c r="F21" s="354"/>
      <c r="G21" s="952"/>
      <c r="H21" s="958"/>
      <c r="I21" s="355" t="s">
        <v>142</v>
      </c>
      <c r="J21" s="356" t="s">
        <v>143</v>
      </c>
      <c r="K21" s="357">
        <f t="shared" si="0"/>
        <v>0</v>
      </c>
      <c r="L21" s="357">
        <f t="shared" si="1"/>
        <v>0</v>
      </c>
      <c r="M21" s="358"/>
      <c r="N21" s="359" t="s">
        <v>348</v>
      </c>
      <c r="O21" s="360" t="s">
        <v>349</v>
      </c>
      <c r="P21" s="357">
        <f>K76</f>
        <v>152.47</v>
      </c>
      <c r="Q21" s="357">
        <f>L76</f>
        <v>205.24</v>
      </c>
    </row>
    <row r="22" spans="1:17" ht="12.75">
      <c r="A22" s="961"/>
      <c r="B22" s="352" t="s">
        <v>193</v>
      </c>
      <c r="C22" s="353" t="s">
        <v>266</v>
      </c>
      <c r="D22" s="295">
        <v>21.35</v>
      </c>
      <c r="E22" s="295">
        <v>9.65</v>
      </c>
      <c r="F22" s="354"/>
      <c r="G22" s="952"/>
      <c r="H22" s="958"/>
      <c r="I22" s="355" t="s">
        <v>20</v>
      </c>
      <c r="J22" s="356" t="s">
        <v>91</v>
      </c>
      <c r="K22" s="357">
        <f t="shared" si="0"/>
        <v>21.35</v>
      </c>
      <c r="L22" s="357">
        <f t="shared" si="1"/>
        <v>9.65</v>
      </c>
      <c r="M22" s="358"/>
      <c r="N22" s="359" t="s">
        <v>350</v>
      </c>
      <c r="O22" s="360" t="s">
        <v>351</v>
      </c>
      <c r="P22" s="29">
        <f>IF(AND(K34="",K35="",K37="",K79=""),"",SUM(K34:K35,K37,K79))</f>
        <v>5.62</v>
      </c>
      <c r="Q22" s="29">
        <f>IF(AND(L34="",L35="",L37="",L79=""),"",SUM(L34:L35,L37,L79))</f>
        <v>57.6</v>
      </c>
    </row>
    <row r="23" spans="1:17" ht="12.75">
      <c r="A23" s="961"/>
      <c r="B23" s="352" t="s">
        <v>191</v>
      </c>
      <c r="C23" s="353" t="s">
        <v>264</v>
      </c>
      <c r="D23" s="295">
        <v>0</v>
      </c>
      <c r="E23" s="295">
        <v>0</v>
      </c>
      <c r="F23" s="354"/>
      <c r="G23" s="952"/>
      <c r="H23" s="958"/>
      <c r="I23" s="355" t="s">
        <v>21</v>
      </c>
      <c r="J23" s="356" t="s">
        <v>144</v>
      </c>
      <c r="K23" s="357">
        <f t="shared" si="0"/>
        <v>0</v>
      </c>
      <c r="L23" s="357">
        <f t="shared" si="1"/>
        <v>0</v>
      </c>
      <c r="M23" s="358"/>
      <c r="N23" s="359" t="s">
        <v>352</v>
      </c>
      <c r="O23" s="360" t="s">
        <v>353</v>
      </c>
      <c r="P23" s="29">
        <f t="shared" ref="P23:Q23" si="4">K77</f>
        <v>2.2200000000000002</v>
      </c>
      <c r="Q23" s="29">
        <f t="shared" si="4"/>
        <v>1.62</v>
      </c>
    </row>
    <row r="24" spans="1:17" ht="12.75">
      <c r="A24" s="961"/>
      <c r="B24" s="352" t="s">
        <v>210</v>
      </c>
      <c r="C24" s="353" t="s">
        <v>283</v>
      </c>
      <c r="D24" s="295">
        <v>3.13</v>
      </c>
      <c r="E24" s="295">
        <v>3.79</v>
      </c>
      <c r="F24" s="354"/>
      <c r="G24" s="952"/>
      <c r="H24" s="958"/>
      <c r="I24" s="355" t="s">
        <v>22</v>
      </c>
      <c r="J24" s="356" t="s">
        <v>92</v>
      </c>
      <c r="K24" s="357">
        <f t="shared" si="0"/>
        <v>3.13</v>
      </c>
      <c r="L24" s="357">
        <f t="shared" si="1"/>
        <v>3.79</v>
      </c>
      <c r="M24" s="358"/>
      <c r="N24" s="359" t="s">
        <v>354</v>
      </c>
      <c r="O24" s="360" t="s">
        <v>355</v>
      </c>
      <c r="P24" s="29">
        <f t="shared" ref="P24:Q24" si="5">K8</f>
        <v>117.64</v>
      </c>
      <c r="Q24" s="29">
        <f t="shared" si="5"/>
        <v>115.79</v>
      </c>
    </row>
    <row r="25" spans="1:17" ht="12.75">
      <c r="A25" s="961"/>
      <c r="B25" s="352" t="s">
        <v>207</v>
      </c>
      <c r="C25" s="353" t="s">
        <v>280</v>
      </c>
      <c r="D25" s="295">
        <v>63422.76</v>
      </c>
      <c r="E25" s="295">
        <v>38836.07</v>
      </c>
      <c r="F25" s="354"/>
      <c r="G25" s="952"/>
      <c r="H25" s="958"/>
      <c r="I25" s="355" t="s">
        <v>23</v>
      </c>
      <c r="J25" s="356" t="s">
        <v>93</v>
      </c>
      <c r="K25" s="357">
        <f t="shared" si="0"/>
        <v>63422.76</v>
      </c>
      <c r="L25" s="357">
        <f t="shared" si="1"/>
        <v>38836.07</v>
      </c>
      <c r="M25" s="358"/>
      <c r="N25" s="359" t="s">
        <v>356</v>
      </c>
      <c r="O25" s="360" t="s">
        <v>357</v>
      </c>
      <c r="P25" s="29">
        <f>IF(AND(K67="",K68="",K70="",K72=""),"",SUM(K67:K68,K70,K72))</f>
        <v>20541.219999999998</v>
      </c>
      <c r="Q25" s="29">
        <f>IF(AND(L67="",L68="",L70="",L72=""),"",SUM(L67:L68,L70,L72))</f>
        <v>44873.450000000004</v>
      </c>
    </row>
    <row r="26" spans="1:17" ht="15.75" customHeight="1">
      <c r="A26" s="961"/>
      <c r="B26" s="352" t="s">
        <v>249</v>
      </c>
      <c r="C26" s="353" t="s">
        <v>321</v>
      </c>
      <c r="D26" s="295">
        <v>43558.57</v>
      </c>
      <c r="E26" s="295">
        <v>46720.69</v>
      </c>
      <c r="F26" s="354"/>
      <c r="G26" s="952"/>
      <c r="H26" s="958"/>
      <c r="I26" s="355" t="s">
        <v>24</v>
      </c>
      <c r="J26" s="356" t="s">
        <v>94</v>
      </c>
      <c r="K26" s="357">
        <f t="shared" si="0"/>
        <v>43558.57</v>
      </c>
      <c r="L26" s="357">
        <f t="shared" si="1"/>
        <v>46720.69</v>
      </c>
      <c r="M26" s="358"/>
      <c r="N26" s="365"/>
      <c r="O26" s="366" t="s">
        <v>407</v>
      </c>
      <c r="P26" s="367"/>
      <c r="Q26" s="368"/>
    </row>
    <row r="27" spans="1:17" ht="12.75">
      <c r="A27" s="961"/>
      <c r="B27" s="352" t="s">
        <v>221</v>
      </c>
      <c r="C27" s="353" t="s">
        <v>294</v>
      </c>
      <c r="D27" s="295">
        <v>0</v>
      </c>
      <c r="E27" s="295">
        <v>0</v>
      </c>
      <c r="F27" s="354"/>
      <c r="G27" s="952"/>
      <c r="H27" s="958"/>
      <c r="I27" s="355" t="s">
        <v>25</v>
      </c>
      <c r="J27" s="356" t="s">
        <v>145</v>
      </c>
      <c r="K27" s="357">
        <f t="shared" si="0"/>
        <v>0</v>
      </c>
      <c r="L27" s="357">
        <f t="shared" si="1"/>
        <v>0</v>
      </c>
      <c r="M27" s="358"/>
      <c r="N27" s="359" t="s">
        <v>358</v>
      </c>
      <c r="O27" s="369" t="s">
        <v>84</v>
      </c>
      <c r="P27" s="357">
        <f>K13</f>
        <v>5.38</v>
      </c>
      <c r="Q27" s="357">
        <f>L13</f>
        <v>0.01</v>
      </c>
    </row>
    <row r="28" spans="1:17" ht="12.75">
      <c r="A28" s="961"/>
      <c r="B28" s="352" t="s">
        <v>226</v>
      </c>
      <c r="C28" s="353" t="s">
        <v>299</v>
      </c>
      <c r="D28" s="295">
        <v>0</v>
      </c>
      <c r="E28" s="295">
        <v>0</v>
      </c>
      <c r="F28" s="354"/>
      <c r="G28" s="952"/>
      <c r="H28" s="958"/>
      <c r="I28" s="355" t="s">
        <v>146</v>
      </c>
      <c r="J28" s="356" t="s">
        <v>147</v>
      </c>
      <c r="K28" s="357">
        <f t="shared" si="0"/>
        <v>0</v>
      </c>
      <c r="L28" s="357">
        <f t="shared" si="1"/>
        <v>0</v>
      </c>
      <c r="M28" s="358"/>
      <c r="N28" s="359" t="s">
        <v>359</v>
      </c>
      <c r="O28" s="369" t="s">
        <v>90</v>
      </c>
      <c r="P28" s="357">
        <f>K19</f>
        <v>0</v>
      </c>
      <c r="Q28" s="357">
        <f>L19</f>
        <v>0</v>
      </c>
    </row>
    <row r="29" spans="1:17" ht="12.75">
      <c r="A29" s="961"/>
      <c r="B29" s="352" t="s">
        <v>230</v>
      </c>
      <c r="C29" s="353" t="s">
        <v>303</v>
      </c>
      <c r="D29" s="295">
        <v>0</v>
      </c>
      <c r="E29" s="295">
        <v>0</v>
      </c>
      <c r="F29" s="354"/>
      <c r="G29" s="952"/>
      <c r="H29" s="958"/>
      <c r="I29" s="355" t="s">
        <v>148</v>
      </c>
      <c r="J29" s="356" t="s">
        <v>149</v>
      </c>
      <c r="K29" s="357">
        <f t="shared" si="0"/>
        <v>0</v>
      </c>
      <c r="L29" s="357">
        <f t="shared" si="1"/>
        <v>0</v>
      </c>
      <c r="M29" s="358"/>
      <c r="N29" s="359" t="s">
        <v>360</v>
      </c>
      <c r="O29" s="369" t="s">
        <v>361</v>
      </c>
      <c r="P29" s="357">
        <f>K17</f>
        <v>0</v>
      </c>
      <c r="Q29" s="357">
        <f>L17</f>
        <v>0</v>
      </c>
    </row>
    <row r="30" spans="1:17" ht="12.75">
      <c r="A30" s="961"/>
      <c r="B30" s="352" t="s">
        <v>182</v>
      </c>
      <c r="C30" s="353" t="s">
        <v>255</v>
      </c>
      <c r="D30" s="295">
        <v>0</v>
      </c>
      <c r="E30" s="295">
        <v>0</v>
      </c>
      <c r="F30" s="354"/>
      <c r="G30" s="952"/>
      <c r="H30" s="958"/>
      <c r="I30" s="355" t="s">
        <v>26</v>
      </c>
      <c r="J30" s="356" t="s">
        <v>150</v>
      </c>
      <c r="K30" s="357">
        <f t="shared" si="0"/>
        <v>0</v>
      </c>
      <c r="L30" s="357">
        <f t="shared" si="1"/>
        <v>0</v>
      </c>
      <c r="M30" s="358"/>
      <c r="N30" s="359" t="s">
        <v>362</v>
      </c>
      <c r="O30" s="369" t="s">
        <v>91</v>
      </c>
      <c r="P30" s="357">
        <f>K22</f>
        <v>21.35</v>
      </c>
      <c r="Q30" s="357">
        <f>L22</f>
        <v>9.65</v>
      </c>
    </row>
    <row r="31" spans="1:17" ht="12.75">
      <c r="A31" s="961"/>
      <c r="B31" s="352" t="s">
        <v>211</v>
      </c>
      <c r="C31" s="353" t="s">
        <v>284</v>
      </c>
      <c r="D31" s="295">
        <v>121.58</v>
      </c>
      <c r="E31" s="295">
        <v>119.1</v>
      </c>
      <c r="F31" s="354"/>
      <c r="G31" s="952"/>
      <c r="H31" s="958"/>
      <c r="I31" s="355" t="s">
        <v>27</v>
      </c>
      <c r="J31" s="356" t="s">
        <v>95</v>
      </c>
      <c r="K31" s="357">
        <f t="shared" si="0"/>
        <v>121.58</v>
      </c>
      <c r="L31" s="357">
        <f t="shared" si="1"/>
        <v>119.1</v>
      </c>
      <c r="M31" s="358"/>
      <c r="N31" s="359" t="s">
        <v>363</v>
      </c>
      <c r="O31" s="369" t="s">
        <v>94</v>
      </c>
      <c r="P31" s="357">
        <f>K26</f>
        <v>43558.57</v>
      </c>
      <c r="Q31" s="357">
        <f>L26</f>
        <v>46720.69</v>
      </c>
    </row>
    <row r="32" spans="1:17" ht="12.75">
      <c r="A32" s="961"/>
      <c r="B32" s="352" t="s">
        <v>185</v>
      </c>
      <c r="C32" s="353" t="s">
        <v>258</v>
      </c>
      <c r="D32" s="295">
        <v>0</v>
      </c>
      <c r="E32" s="295">
        <v>0</v>
      </c>
      <c r="F32" s="354"/>
      <c r="G32" s="952"/>
      <c r="H32" s="958"/>
      <c r="I32" s="355" t="s">
        <v>28</v>
      </c>
      <c r="J32" s="356" t="s">
        <v>96</v>
      </c>
      <c r="K32" s="357">
        <f t="shared" si="0"/>
        <v>0</v>
      </c>
      <c r="L32" s="357">
        <f t="shared" si="1"/>
        <v>0</v>
      </c>
      <c r="M32" s="358"/>
      <c r="N32" s="359" t="s">
        <v>364</v>
      </c>
      <c r="O32" s="369" t="s">
        <v>87</v>
      </c>
      <c r="P32" s="357">
        <f>K16</f>
        <v>0.1</v>
      </c>
      <c r="Q32" s="357">
        <f>L16</f>
        <v>0.02</v>
      </c>
    </row>
    <row r="33" spans="1:17" ht="12.75">
      <c r="A33" s="961"/>
      <c r="B33" s="352" t="s">
        <v>205</v>
      </c>
      <c r="C33" s="353" t="s">
        <v>278</v>
      </c>
      <c r="D33" s="295">
        <v>0.5</v>
      </c>
      <c r="E33" s="295">
        <v>0.41</v>
      </c>
      <c r="F33" s="354"/>
      <c r="G33" s="952"/>
      <c r="H33" s="958"/>
      <c r="I33" s="355" t="s">
        <v>29</v>
      </c>
      <c r="J33" s="356" t="s">
        <v>97</v>
      </c>
      <c r="K33" s="357">
        <f t="shared" si="0"/>
        <v>0.5</v>
      </c>
      <c r="L33" s="357">
        <f t="shared" si="1"/>
        <v>0.41</v>
      </c>
      <c r="M33" s="358"/>
      <c r="N33" s="359" t="s">
        <v>365</v>
      </c>
      <c r="O33" s="369" t="s">
        <v>145</v>
      </c>
      <c r="P33" s="357">
        <f>K27</f>
        <v>0</v>
      </c>
      <c r="Q33" s="357">
        <f>L27</f>
        <v>0</v>
      </c>
    </row>
    <row r="34" spans="1:17" ht="12.75">
      <c r="A34" s="961"/>
      <c r="B34" s="352" t="s">
        <v>215</v>
      </c>
      <c r="C34" s="353" t="s">
        <v>288</v>
      </c>
      <c r="D34" s="295">
        <v>0.79</v>
      </c>
      <c r="E34" s="295">
        <v>0.28999999999999998</v>
      </c>
      <c r="F34" s="354"/>
      <c r="G34" s="952"/>
      <c r="H34" s="958"/>
      <c r="I34" s="355" t="s">
        <v>99</v>
      </c>
      <c r="J34" s="356" t="s">
        <v>98</v>
      </c>
      <c r="K34" s="357">
        <f t="shared" si="0"/>
        <v>0.79</v>
      </c>
      <c r="L34" s="357">
        <f t="shared" si="1"/>
        <v>0.28999999999999998</v>
      </c>
      <c r="M34" s="358"/>
      <c r="N34" s="359" t="s">
        <v>366</v>
      </c>
      <c r="O34" s="369" t="s">
        <v>89</v>
      </c>
      <c r="P34" s="357">
        <f>K18</f>
        <v>0.14000000000000001</v>
      </c>
      <c r="Q34" s="357">
        <f>L18</f>
        <v>1.7</v>
      </c>
    </row>
    <row r="35" spans="1:17" ht="12.75">
      <c r="A35" s="961"/>
      <c r="B35" s="352" t="s">
        <v>188</v>
      </c>
      <c r="C35" s="353" t="s">
        <v>261</v>
      </c>
      <c r="D35" s="295">
        <v>0</v>
      </c>
      <c r="E35" s="295">
        <v>0</v>
      </c>
      <c r="F35" s="354"/>
      <c r="G35" s="952"/>
      <c r="H35" s="958"/>
      <c r="I35" s="355" t="s">
        <v>101</v>
      </c>
      <c r="J35" s="356" t="s">
        <v>100</v>
      </c>
      <c r="K35" s="357">
        <f t="shared" si="0"/>
        <v>0</v>
      </c>
      <c r="L35" s="357">
        <f t="shared" si="1"/>
        <v>0</v>
      </c>
      <c r="M35" s="358"/>
      <c r="N35" s="359" t="s">
        <v>367</v>
      </c>
      <c r="O35" s="369" t="s">
        <v>141</v>
      </c>
      <c r="P35" s="357">
        <f>K20</f>
        <v>0</v>
      </c>
      <c r="Q35" s="357">
        <f>L20</f>
        <v>0</v>
      </c>
    </row>
    <row r="36" spans="1:17" ht="12.75">
      <c r="A36" s="962"/>
      <c r="B36" s="352" t="s">
        <v>217</v>
      </c>
      <c r="C36" s="353" t="s">
        <v>290</v>
      </c>
      <c r="D36" s="295">
        <v>2.67</v>
      </c>
      <c r="E36" s="295">
        <v>2.87</v>
      </c>
      <c r="F36" s="354"/>
      <c r="G36" s="953"/>
      <c r="H36" s="959"/>
      <c r="I36" s="355" t="s">
        <v>30</v>
      </c>
      <c r="J36" s="356" t="s">
        <v>151</v>
      </c>
      <c r="K36" s="357">
        <f t="shared" si="0"/>
        <v>2.67</v>
      </c>
      <c r="L36" s="357">
        <f t="shared" si="1"/>
        <v>2.87</v>
      </c>
      <c r="M36" s="358"/>
      <c r="N36" s="359" t="s">
        <v>368</v>
      </c>
      <c r="O36" s="369" t="s">
        <v>147</v>
      </c>
      <c r="P36" s="357">
        <f>K28</f>
        <v>0</v>
      </c>
      <c r="Q36" s="357">
        <f>L28</f>
        <v>0</v>
      </c>
    </row>
    <row r="37" spans="1:17" ht="12.75">
      <c r="A37" s="960" t="s">
        <v>31</v>
      </c>
      <c r="B37" s="352" t="s">
        <v>232</v>
      </c>
      <c r="C37" s="353" t="s">
        <v>305</v>
      </c>
      <c r="D37" s="295">
        <v>3.87</v>
      </c>
      <c r="E37" s="295">
        <v>57.31</v>
      </c>
      <c r="F37" s="354"/>
      <c r="G37" s="362" t="s">
        <v>31</v>
      </c>
      <c r="H37" s="363" t="s">
        <v>32</v>
      </c>
      <c r="I37" s="355" t="s">
        <v>33</v>
      </c>
      <c r="J37" s="356" t="s">
        <v>102</v>
      </c>
      <c r="K37" s="357">
        <f t="shared" si="0"/>
        <v>3.87</v>
      </c>
      <c r="L37" s="357">
        <f t="shared" si="1"/>
        <v>57.31</v>
      </c>
      <c r="M37" s="358"/>
      <c r="N37" s="359" t="s">
        <v>369</v>
      </c>
      <c r="O37" s="369" t="s">
        <v>86</v>
      </c>
      <c r="P37" s="357">
        <f>K15</f>
        <v>67.66</v>
      </c>
      <c r="Q37" s="357">
        <f>L15</f>
        <v>164.51</v>
      </c>
    </row>
    <row r="38" spans="1:17" ht="12.75" customHeight="1">
      <c r="A38" s="962"/>
      <c r="B38" s="352" t="s">
        <v>247</v>
      </c>
      <c r="C38" s="353" t="s">
        <v>319</v>
      </c>
      <c r="D38" s="295">
        <v>0.96</v>
      </c>
      <c r="E38" s="295">
        <v>0</v>
      </c>
      <c r="F38" s="354"/>
      <c r="G38" s="951" t="s">
        <v>34</v>
      </c>
      <c r="H38" s="957" t="s">
        <v>152</v>
      </c>
      <c r="I38" s="355" t="s">
        <v>35</v>
      </c>
      <c r="J38" s="356" t="s">
        <v>103</v>
      </c>
      <c r="K38" s="357">
        <f t="shared" ref="K38:K51" si="6">IF(ISNUMBER(D39),D39,"")</f>
        <v>1083.33</v>
      </c>
      <c r="L38" s="357">
        <f t="shared" ref="L38:L51" si="7">IF(ISNUMBER(E39),E39,"")</f>
        <v>1472.68</v>
      </c>
      <c r="M38" s="358"/>
      <c r="N38" s="359" t="s">
        <v>370</v>
      </c>
      <c r="O38" s="369" t="s">
        <v>143</v>
      </c>
      <c r="P38" s="357">
        <f>K21</f>
        <v>0</v>
      </c>
      <c r="Q38" s="357">
        <f>L21</f>
        <v>0</v>
      </c>
    </row>
    <row r="39" spans="1:17" ht="12.75">
      <c r="A39" s="960" t="s">
        <v>34</v>
      </c>
      <c r="B39" s="352" t="s">
        <v>236</v>
      </c>
      <c r="C39" s="353" t="s">
        <v>309</v>
      </c>
      <c r="D39" s="295">
        <v>1083.33</v>
      </c>
      <c r="E39" s="295">
        <v>1472.68</v>
      </c>
      <c r="F39" s="354"/>
      <c r="G39" s="953"/>
      <c r="H39" s="959"/>
      <c r="I39" s="355" t="s">
        <v>105</v>
      </c>
      <c r="J39" s="356" t="s">
        <v>104</v>
      </c>
      <c r="K39" s="357">
        <f t="shared" si="6"/>
        <v>304.7</v>
      </c>
      <c r="L39" s="357">
        <f t="shared" si="7"/>
        <v>555.54999999999995</v>
      </c>
      <c r="M39" s="358"/>
      <c r="N39" s="359" t="s">
        <v>371</v>
      </c>
      <c r="O39" s="369" t="s">
        <v>93</v>
      </c>
      <c r="P39" s="357">
        <f>K25</f>
        <v>63422.76</v>
      </c>
      <c r="Q39" s="357">
        <f>L25</f>
        <v>38836.07</v>
      </c>
    </row>
    <row r="40" spans="1:17" ht="12.75">
      <c r="A40" s="962"/>
      <c r="B40" s="352" t="s">
        <v>239</v>
      </c>
      <c r="C40" s="353" t="s">
        <v>36</v>
      </c>
      <c r="D40" s="295">
        <v>304.7</v>
      </c>
      <c r="E40" s="295">
        <v>555.54999999999995</v>
      </c>
      <c r="F40" s="354"/>
      <c r="G40" s="951" t="s">
        <v>37</v>
      </c>
      <c r="H40" s="957" t="s">
        <v>153</v>
      </c>
      <c r="I40" s="355" t="s">
        <v>38</v>
      </c>
      <c r="J40" s="356" t="s">
        <v>106</v>
      </c>
      <c r="K40" s="357">
        <f t="shared" si="6"/>
        <v>4.75</v>
      </c>
      <c r="L40" s="357">
        <f t="shared" si="7"/>
        <v>1.1299999999999999</v>
      </c>
      <c r="M40" s="358"/>
      <c r="N40" s="359" t="s">
        <v>372</v>
      </c>
      <c r="O40" s="369" t="s">
        <v>85</v>
      </c>
      <c r="P40" s="357">
        <f>K14</f>
        <v>0.02</v>
      </c>
      <c r="Q40" s="357">
        <f>L14</f>
        <v>2.56</v>
      </c>
    </row>
    <row r="41" spans="1:17" ht="12.75">
      <c r="A41" s="960" t="s">
        <v>37</v>
      </c>
      <c r="B41" s="352" t="s">
        <v>197</v>
      </c>
      <c r="C41" s="353" t="s">
        <v>270</v>
      </c>
      <c r="D41" s="295">
        <v>4.75</v>
      </c>
      <c r="E41" s="295">
        <v>1.1299999999999999</v>
      </c>
      <c r="F41" s="354"/>
      <c r="G41" s="952"/>
      <c r="H41" s="958"/>
      <c r="I41" s="355" t="s">
        <v>39</v>
      </c>
      <c r="J41" s="356" t="s">
        <v>107</v>
      </c>
      <c r="K41" s="357">
        <f t="shared" si="6"/>
        <v>132.16999999999999</v>
      </c>
      <c r="L41" s="357">
        <f t="shared" si="7"/>
        <v>152.46</v>
      </c>
      <c r="M41" s="358"/>
      <c r="N41" s="359" t="s">
        <v>373</v>
      </c>
      <c r="O41" s="369" t="s">
        <v>374</v>
      </c>
      <c r="P41" s="357">
        <f t="shared" ref="P41:Q43" si="8">K10</f>
        <v>3.01</v>
      </c>
      <c r="Q41" s="357">
        <f t="shared" si="8"/>
        <v>6.01</v>
      </c>
    </row>
    <row r="42" spans="1:17" ht="12.75">
      <c r="A42" s="961"/>
      <c r="B42" s="352" t="s">
        <v>213</v>
      </c>
      <c r="C42" s="353" t="s">
        <v>286</v>
      </c>
      <c r="D42" s="295">
        <v>132.16999999999999</v>
      </c>
      <c r="E42" s="295">
        <v>152.46</v>
      </c>
      <c r="F42" s="354"/>
      <c r="G42" s="952"/>
      <c r="H42" s="958"/>
      <c r="I42" s="355" t="s">
        <v>40</v>
      </c>
      <c r="J42" s="356" t="s">
        <v>108</v>
      </c>
      <c r="K42" s="357">
        <f t="shared" si="6"/>
        <v>28.85</v>
      </c>
      <c r="L42" s="357">
        <f t="shared" si="7"/>
        <v>53.79</v>
      </c>
      <c r="M42" s="358"/>
      <c r="N42" s="359" t="s">
        <v>375</v>
      </c>
      <c r="O42" s="369" t="s">
        <v>82</v>
      </c>
      <c r="P42" s="357">
        <f t="shared" si="8"/>
        <v>282.23</v>
      </c>
      <c r="Q42" s="357">
        <f t="shared" si="8"/>
        <v>518.36</v>
      </c>
    </row>
    <row r="43" spans="1:17" ht="12.75">
      <c r="A43" s="961"/>
      <c r="B43" s="352" t="s">
        <v>202</v>
      </c>
      <c r="C43" s="353" t="s">
        <v>275</v>
      </c>
      <c r="D43" s="295">
        <v>28.85</v>
      </c>
      <c r="E43" s="295">
        <v>53.79</v>
      </c>
      <c r="F43" s="354"/>
      <c r="G43" s="953"/>
      <c r="H43" s="959"/>
      <c r="I43" s="355" t="s">
        <v>41</v>
      </c>
      <c r="J43" s="356" t="s">
        <v>109</v>
      </c>
      <c r="K43" s="357">
        <f t="shared" si="6"/>
        <v>0</v>
      </c>
      <c r="L43" s="357">
        <f t="shared" si="7"/>
        <v>3.78</v>
      </c>
      <c r="M43" s="358"/>
      <c r="N43" s="359" t="s">
        <v>376</v>
      </c>
      <c r="O43" s="369" t="s">
        <v>83</v>
      </c>
      <c r="P43" s="357">
        <f t="shared" si="8"/>
        <v>8503.2610000000004</v>
      </c>
      <c r="Q43" s="357">
        <f t="shared" si="8"/>
        <v>9745.0400000000009</v>
      </c>
    </row>
    <row r="44" spans="1:17" ht="12.75">
      <c r="A44" s="962"/>
      <c r="B44" s="352" t="s">
        <v>237</v>
      </c>
      <c r="C44" s="353" t="s">
        <v>310</v>
      </c>
      <c r="D44" s="295">
        <v>0</v>
      </c>
      <c r="E44" s="295">
        <v>3.78</v>
      </c>
      <c r="F44" s="354"/>
      <c r="G44" s="951" t="s">
        <v>42</v>
      </c>
      <c r="H44" s="957" t="s">
        <v>154</v>
      </c>
      <c r="I44" s="355" t="s">
        <v>43</v>
      </c>
      <c r="J44" s="356" t="s">
        <v>110</v>
      </c>
      <c r="K44" s="357">
        <f t="shared" si="6"/>
        <v>7.32</v>
      </c>
      <c r="L44" s="357">
        <f t="shared" si="7"/>
        <v>3.96</v>
      </c>
      <c r="M44" s="358"/>
      <c r="N44" s="359" t="s">
        <v>377</v>
      </c>
      <c r="O44" s="369" t="s">
        <v>378</v>
      </c>
      <c r="P44" s="357">
        <f>K71</f>
        <v>6706.91</v>
      </c>
      <c r="Q44" s="357">
        <f>L71</f>
        <v>10020.66</v>
      </c>
    </row>
    <row r="45" spans="1:17" ht="12.75">
      <c r="A45" s="960" t="s">
        <v>42</v>
      </c>
      <c r="B45" s="352" t="s">
        <v>235</v>
      </c>
      <c r="C45" s="353" t="s">
        <v>308</v>
      </c>
      <c r="D45" s="295">
        <v>7.32</v>
      </c>
      <c r="E45" s="295">
        <v>3.96</v>
      </c>
      <c r="F45" s="354"/>
      <c r="G45" s="952"/>
      <c r="H45" s="958"/>
      <c r="I45" s="355" t="s">
        <v>44</v>
      </c>
      <c r="J45" s="356" t="s">
        <v>111</v>
      </c>
      <c r="K45" s="357">
        <f t="shared" si="6"/>
        <v>31.82</v>
      </c>
      <c r="L45" s="357">
        <f t="shared" si="7"/>
        <v>45.29</v>
      </c>
      <c r="M45" s="358"/>
      <c r="N45" s="359" t="s">
        <v>379</v>
      </c>
      <c r="O45" s="369" t="s">
        <v>176</v>
      </c>
      <c r="P45" s="357">
        <f>K45</f>
        <v>31.82</v>
      </c>
      <c r="Q45" s="357">
        <f>L45</f>
        <v>45.29</v>
      </c>
    </row>
    <row r="46" spans="1:17" ht="12.75">
      <c r="A46" s="961"/>
      <c r="B46" s="352" t="s">
        <v>212</v>
      </c>
      <c r="C46" s="353" t="s">
        <v>285</v>
      </c>
      <c r="D46" s="295">
        <v>31.82</v>
      </c>
      <c r="E46" s="295">
        <v>45.29</v>
      </c>
      <c r="F46" s="354"/>
      <c r="G46" s="953"/>
      <c r="H46" s="959"/>
      <c r="I46" s="355" t="s">
        <v>45</v>
      </c>
      <c r="J46" s="356" t="s">
        <v>155</v>
      </c>
      <c r="K46" s="357">
        <f t="shared" si="6"/>
        <v>60.49</v>
      </c>
      <c r="L46" s="357">
        <f t="shared" si="7"/>
        <v>53.93</v>
      </c>
      <c r="M46" s="358"/>
      <c r="N46" s="359" t="s">
        <v>380</v>
      </c>
      <c r="O46" s="369" t="s">
        <v>381</v>
      </c>
      <c r="P46" s="357">
        <f>K59</f>
        <v>0</v>
      </c>
      <c r="Q46" s="357">
        <f>L59</f>
        <v>0</v>
      </c>
    </row>
    <row r="47" spans="1:17" ht="12.75">
      <c r="A47" s="962"/>
      <c r="B47" s="352" t="s">
        <v>234</v>
      </c>
      <c r="C47" s="353" t="s">
        <v>307</v>
      </c>
      <c r="D47" s="295">
        <v>60.49</v>
      </c>
      <c r="E47" s="295">
        <v>53.93</v>
      </c>
      <c r="F47" s="354"/>
      <c r="G47" s="951" t="s">
        <v>46</v>
      </c>
      <c r="H47" s="957" t="s">
        <v>156</v>
      </c>
      <c r="I47" s="355" t="s">
        <v>47</v>
      </c>
      <c r="J47" s="356" t="s">
        <v>112</v>
      </c>
      <c r="K47" s="357">
        <f t="shared" si="6"/>
        <v>742.00199999999995</v>
      </c>
      <c r="L47" s="357">
        <f t="shared" si="7"/>
        <v>1764.6</v>
      </c>
      <c r="M47" s="358"/>
      <c r="N47" s="359" t="s">
        <v>382</v>
      </c>
      <c r="O47" s="369" t="s">
        <v>383</v>
      </c>
      <c r="P47" s="357">
        <f>K55</f>
        <v>0</v>
      </c>
      <c r="Q47" s="357">
        <f>L55</f>
        <v>0.18</v>
      </c>
    </row>
    <row r="48" spans="1:17" ht="12.75">
      <c r="A48" s="960" t="s">
        <v>46</v>
      </c>
      <c r="B48" s="352" t="s">
        <v>241</v>
      </c>
      <c r="C48" s="353" t="s">
        <v>313</v>
      </c>
      <c r="D48" s="295">
        <v>742.00199999999995</v>
      </c>
      <c r="E48" s="295">
        <v>1764.6</v>
      </c>
      <c r="F48" s="354"/>
      <c r="G48" s="952"/>
      <c r="H48" s="958"/>
      <c r="I48" s="355" t="s">
        <v>48</v>
      </c>
      <c r="J48" s="356" t="s">
        <v>157</v>
      </c>
      <c r="K48" s="357">
        <f t="shared" si="6"/>
        <v>1810.72</v>
      </c>
      <c r="L48" s="357">
        <f t="shared" si="7"/>
        <v>2018.08</v>
      </c>
      <c r="M48" s="358"/>
      <c r="N48" s="359" t="s">
        <v>384</v>
      </c>
      <c r="O48" s="369" t="s">
        <v>106</v>
      </c>
      <c r="P48" s="357">
        <f>K40</f>
        <v>4.75</v>
      </c>
      <c r="Q48" s="357">
        <f>L40</f>
        <v>1.1299999999999999</v>
      </c>
    </row>
    <row r="49" spans="1:17" ht="12.75">
      <c r="A49" s="961"/>
      <c r="B49" s="352" t="s">
        <v>242</v>
      </c>
      <c r="C49" s="353" t="s">
        <v>314</v>
      </c>
      <c r="D49" s="295">
        <v>1810.72</v>
      </c>
      <c r="E49" s="295">
        <v>2018.08</v>
      </c>
      <c r="F49" s="354"/>
      <c r="G49" s="953"/>
      <c r="H49" s="959"/>
      <c r="I49" s="355" t="s">
        <v>49</v>
      </c>
      <c r="J49" s="356" t="s">
        <v>158</v>
      </c>
      <c r="K49" s="357">
        <f t="shared" si="6"/>
        <v>2370.0500000000002</v>
      </c>
      <c r="L49" s="357">
        <f t="shared" si="7"/>
        <v>42.79</v>
      </c>
      <c r="M49" s="358"/>
      <c r="N49" s="359" t="s">
        <v>385</v>
      </c>
      <c r="O49" s="369" t="s">
        <v>108</v>
      </c>
      <c r="P49" s="357">
        <f>K42</f>
        <v>28.85</v>
      </c>
      <c r="Q49" s="357">
        <f>L42</f>
        <v>53.79</v>
      </c>
    </row>
    <row r="50" spans="1:17" ht="12.75" customHeight="1">
      <c r="A50" s="966"/>
      <c r="B50" s="352" t="s">
        <v>245</v>
      </c>
      <c r="C50" s="353" t="s">
        <v>317</v>
      </c>
      <c r="D50" s="295">
        <v>2370.0500000000002</v>
      </c>
      <c r="E50" s="295">
        <v>42.79</v>
      </c>
      <c r="F50" s="354"/>
      <c r="G50" s="951" t="s">
        <v>50</v>
      </c>
      <c r="H50" s="957" t="s">
        <v>159</v>
      </c>
      <c r="I50" s="355" t="s">
        <v>51</v>
      </c>
      <c r="J50" s="356" t="s">
        <v>113</v>
      </c>
      <c r="K50" s="370">
        <f t="shared" si="6"/>
        <v>4013.11</v>
      </c>
      <c r="L50" s="370">
        <f t="shared" si="7"/>
        <v>594.86</v>
      </c>
      <c r="M50" s="358"/>
      <c r="N50" s="359" t="s">
        <v>386</v>
      </c>
      <c r="O50" s="369" t="s">
        <v>107</v>
      </c>
      <c r="P50" s="357">
        <f>K41</f>
        <v>132.16999999999999</v>
      </c>
      <c r="Q50" s="357">
        <f>L41</f>
        <v>152.46</v>
      </c>
    </row>
    <row r="51" spans="1:17" ht="12.75">
      <c r="A51" s="963" t="s">
        <v>50</v>
      </c>
      <c r="B51" s="352" t="s">
        <v>178</v>
      </c>
      <c r="C51" s="353" t="s">
        <v>251</v>
      </c>
      <c r="D51" s="295">
        <v>4013.11</v>
      </c>
      <c r="E51" s="295">
        <v>594.86</v>
      </c>
      <c r="F51" s="354"/>
      <c r="G51" s="952"/>
      <c r="H51" s="958"/>
      <c r="I51" s="355" t="s">
        <v>115</v>
      </c>
      <c r="J51" s="356" t="s">
        <v>114</v>
      </c>
      <c r="K51" s="370">
        <f t="shared" si="6"/>
        <v>0.28999999999999998</v>
      </c>
      <c r="L51" s="370">
        <f t="shared" si="7"/>
        <v>3.5</v>
      </c>
      <c r="M51" s="358"/>
      <c r="N51" s="359" t="s">
        <v>387</v>
      </c>
      <c r="O51" s="369" t="s">
        <v>388</v>
      </c>
      <c r="P51" s="357">
        <f t="shared" ref="P51:Q52" si="9">K57</f>
        <v>0</v>
      </c>
      <c r="Q51" s="357">
        <f t="shared" si="9"/>
        <v>0</v>
      </c>
    </row>
    <row r="52" spans="1:17" ht="12.75">
      <c r="A52" s="964"/>
      <c r="B52" s="352" t="s">
        <v>201</v>
      </c>
      <c r="C52" s="353" t="s">
        <v>274</v>
      </c>
      <c r="D52" s="295">
        <v>0.28999999999999998</v>
      </c>
      <c r="E52" s="295">
        <v>3.5</v>
      </c>
      <c r="F52" s="354"/>
      <c r="G52" s="952"/>
      <c r="H52" s="958"/>
      <c r="I52" s="355" t="s">
        <v>52</v>
      </c>
      <c r="J52" s="356" t="s">
        <v>116</v>
      </c>
      <c r="K52" s="371"/>
      <c r="L52" s="371"/>
      <c r="M52" s="358"/>
      <c r="N52" s="359" t="s">
        <v>389</v>
      </c>
      <c r="O52" s="369" t="s">
        <v>390</v>
      </c>
      <c r="P52" s="357">
        <f t="shared" si="9"/>
        <v>0</v>
      </c>
      <c r="Q52" s="357">
        <f t="shared" si="9"/>
        <v>0</v>
      </c>
    </row>
    <row r="53" spans="1:17" ht="12.75">
      <c r="A53" s="964"/>
      <c r="B53" s="352" t="s">
        <v>222</v>
      </c>
      <c r="C53" s="372" t="s">
        <v>295</v>
      </c>
      <c r="D53" s="861">
        <v>0</v>
      </c>
      <c r="E53" s="861">
        <v>0</v>
      </c>
      <c r="F53" s="354"/>
      <c r="G53" s="953"/>
      <c r="H53" s="959"/>
      <c r="I53" s="355" t="s">
        <v>118</v>
      </c>
      <c r="J53" s="356" t="s">
        <v>117</v>
      </c>
      <c r="K53" s="371"/>
      <c r="L53" s="371"/>
      <c r="M53" s="358"/>
      <c r="N53" s="359" t="s">
        <v>391</v>
      </c>
      <c r="O53" s="369" t="s">
        <v>392</v>
      </c>
      <c r="P53" s="357">
        <f>K56</f>
        <v>2.09</v>
      </c>
      <c r="Q53" s="357">
        <f>L56</f>
        <v>2</v>
      </c>
    </row>
    <row r="54" spans="1:17" ht="12.75">
      <c r="A54" s="964"/>
      <c r="B54" s="352" t="s">
        <v>225</v>
      </c>
      <c r="C54" s="353" t="s">
        <v>298</v>
      </c>
      <c r="D54" s="803">
        <v>0</v>
      </c>
      <c r="E54" s="803">
        <v>0</v>
      </c>
      <c r="F54" s="354"/>
      <c r="G54" s="951" t="s">
        <v>53</v>
      </c>
      <c r="H54" s="957" t="s">
        <v>54</v>
      </c>
      <c r="I54" s="355" t="s">
        <v>55</v>
      </c>
      <c r="J54" s="373" t="s">
        <v>160</v>
      </c>
      <c r="K54" s="357">
        <f t="shared" ref="K54:K64" si="10">IF(ISNUMBER(D56),D56,"")</f>
        <v>16.16</v>
      </c>
      <c r="L54" s="357">
        <f t="shared" ref="L54:L64" si="11">IF(ISNUMBER(E56),E56,"")</f>
        <v>29.92</v>
      </c>
      <c r="M54" s="358"/>
      <c r="N54" s="365"/>
      <c r="O54" s="366" t="s">
        <v>405</v>
      </c>
      <c r="P54" s="367"/>
      <c r="Q54" s="368"/>
    </row>
    <row r="55" spans="1:17" ht="12.75">
      <c r="A55" s="965"/>
      <c r="B55" s="352" t="s">
        <v>248</v>
      </c>
      <c r="C55" s="353" t="s">
        <v>320</v>
      </c>
      <c r="D55" s="803">
        <v>0</v>
      </c>
      <c r="E55" s="803">
        <v>0</v>
      </c>
      <c r="F55" s="354"/>
      <c r="G55" s="952"/>
      <c r="H55" s="958"/>
      <c r="I55" s="355" t="s">
        <v>56</v>
      </c>
      <c r="J55" s="356" t="s">
        <v>161</v>
      </c>
      <c r="K55" s="357">
        <f t="shared" si="10"/>
        <v>0</v>
      </c>
      <c r="L55" s="357">
        <f t="shared" si="11"/>
        <v>0.18</v>
      </c>
      <c r="M55" s="358"/>
      <c r="N55" s="359" t="s">
        <v>393</v>
      </c>
      <c r="O55" s="369" t="s">
        <v>394</v>
      </c>
      <c r="P55" s="370"/>
      <c r="Q55" s="370"/>
    </row>
    <row r="56" spans="1:17" ht="12.75">
      <c r="A56" s="954" t="s">
        <v>53</v>
      </c>
      <c r="B56" s="352" t="s">
        <v>246</v>
      </c>
      <c r="C56" s="353" t="s">
        <v>318</v>
      </c>
      <c r="D56" s="295">
        <v>16.16</v>
      </c>
      <c r="E56" s="295">
        <v>29.92</v>
      </c>
      <c r="F56" s="354"/>
      <c r="G56" s="952"/>
      <c r="H56" s="958"/>
      <c r="I56" s="355" t="s">
        <v>57</v>
      </c>
      <c r="J56" s="356" t="s">
        <v>162</v>
      </c>
      <c r="K56" s="357">
        <f t="shared" si="10"/>
        <v>2.09</v>
      </c>
      <c r="L56" s="357">
        <f t="shared" si="11"/>
        <v>2</v>
      </c>
      <c r="M56" s="358"/>
      <c r="N56" s="359" t="s">
        <v>395</v>
      </c>
      <c r="O56" s="369" t="s">
        <v>396</v>
      </c>
      <c r="P56" s="370"/>
      <c r="Q56" s="370"/>
    </row>
    <row r="57" spans="1:17" ht="12.75">
      <c r="A57" s="955"/>
      <c r="B57" s="352" t="s">
        <v>216</v>
      </c>
      <c r="C57" s="353" t="s">
        <v>289</v>
      </c>
      <c r="D57" s="295">
        <v>0</v>
      </c>
      <c r="E57" s="295">
        <v>0.18</v>
      </c>
      <c r="F57" s="354"/>
      <c r="G57" s="952"/>
      <c r="H57" s="958"/>
      <c r="I57" s="355" t="s">
        <v>120</v>
      </c>
      <c r="J57" s="356" t="s">
        <v>119</v>
      </c>
      <c r="K57" s="357">
        <f t="shared" si="10"/>
        <v>0</v>
      </c>
      <c r="L57" s="357">
        <f t="shared" si="11"/>
        <v>0</v>
      </c>
      <c r="M57" s="358"/>
      <c r="N57" s="374"/>
      <c r="O57" s="375" t="s">
        <v>408</v>
      </c>
      <c r="P57" s="376"/>
      <c r="Q57" s="377"/>
    </row>
    <row r="58" spans="1:17" ht="12.75">
      <c r="A58" s="955"/>
      <c r="B58" s="352" t="s">
        <v>214</v>
      </c>
      <c r="C58" s="353" t="s">
        <v>287</v>
      </c>
      <c r="D58" s="295">
        <v>2.09</v>
      </c>
      <c r="E58" s="295">
        <v>2</v>
      </c>
      <c r="F58" s="354"/>
      <c r="G58" s="952"/>
      <c r="H58" s="958"/>
      <c r="I58" s="355" t="s">
        <v>122</v>
      </c>
      <c r="J58" s="356" t="s">
        <v>121</v>
      </c>
      <c r="K58" s="357">
        <f t="shared" si="10"/>
        <v>0</v>
      </c>
      <c r="L58" s="357">
        <f t="shared" si="11"/>
        <v>0</v>
      </c>
      <c r="M58" s="358"/>
      <c r="N58" s="361">
        <v>1</v>
      </c>
      <c r="O58" s="378" t="s">
        <v>397</v>
      </c>
      <c r="P58" s="35">
        <f t="shared" ref="P58" si="12">IF(OR(ISNUMBER(K23),ISNUMBER(K24),ISNUMBER(K29),ISNUMBER(K30)),SUM(K23:K24,K29:K30),"")</f>
        <v>3.13</v>
      </c>
      <c r="Q58" s="35">
        <f>IF(OR(ISNUMBER(L23),ISNUMBER(L24),ISNUMBER(L29),ISNUMBER(L30)),SUM(L23:L24,L29:L30),"")</f>
        <v>3.79</v>
      </c>
    </row>
    <row r="59" spans="1:17" ht="12.75">
      <c r="A59" s="955"/>
      <c r="B59" s="352" t="s">
        <v>218</v>
      </c>
      <c r="C59" s="353" t="s">
        <v>291</v>
      </c>
      <c r="D59" s="295">
        <v>0</v>
      </c>
      <c r="E59" s="295">
        <v>0</v>
      </c>
      <c r="F59" s="354"/>
      <c r="G59" s="952"/>
      <c r="H59" s="958"/>
      <c r="I59" s="355" t="s">
        <v>124</v>
      </c>
      <c r="J59" s="356" t="s">
        <v>123</v>
      </c>
      <c r="K59" s="357">
        <f t="shared" si="10"/>
        <v>0</v>
      </c>
      <c r="L59" s="357">
        <f t="shared" si="11"/>
        <v>0</v>
      </c>
      <c r="M59" s="358"/>
      <c r="N59" s="361">
        <v>2</v>
      </c>
      <c r="O59" s="378" t="s">
        <v>398</v>
      </c>
      <c r="P59" s="35">
        <f>IF(OR(ISNUMBER(K31),ISNUMBER(K32),ISNUMBER(K33),ISNUMBER(K36)),SUM(K31:K33,K36),"")</f>
        <v>124.75</v>
      </c>
      <c r="Q59" s="35">
        <f>IF(OR(ISNUMBER(L31),ISNUMBER(L32),ISNUMBER(L33),ISNUMBER(L36)),SUM(L31:L33,L36),"")</f>
        <v>122.38</v>
      </c>
    </row>
    <row r="60" spans="1:17" ht="12.75">
      <c r="A60" s="955"/>
      <c r="B60" s="352" t="s">
        <v>219</v>
      </c>
      <c r="C60" s="353" t="s">
        <v>292</v>
      </c>
      <c r="D60" s="295">
        <v>0</v>
      </c>
      <c r="E60" s="295">
        <v>0</v>
      </c>
      <c r="F60" s="354"/>
      <c r="G60" s="952"/>
      <c r="H60" s="958"/>
      <c r="I60" s="355" t="s">
        <v>58</v>
      </c>
      <c r="J60" s="356" t="s">
        <v>136</v>
      </c>
      <c r="K60" s="357">
        <f t="shared" si="10"/>
        <v>45.98</v>
      </c>
      <c r="L60" s="357">
        <f t="shared" si="11"/>
        <v>20.55</v>
      </c>
      <c r="M60" s="358"/>
      <c r="N60" s="361">
        <v>3</v>
      </c>
      <c r="O60" s="378" t="s">
        <v>323</v>
      </c>
      <c r="P60" s="35">
        <f t="shared" ref="P60:Q60" si="13">IF(OR(ISNUMBER(K60),ISNUMBER(K61),ISNUMBER(K62),ISNUMBER(K63)),SUM(K60:K63),"")</f>
        <v>1278.23</v>
      </c>
      <c r="Q60" s="35">
        <f t="shared" si="13"/>
        <v>2184.9400000000005</v>
      </c>
    </row>
    <row r="61" spans="1:17" ht="12.75">
      <c r="A61" s="955"/>
      <c r="B61" s="352" t="s">
        <v>195</v>
      </c>
      <c r="C61" s="353" t="s">
        <v>268</v>
      </c>
      <c r="D61" s="295">
        <v>0</v>
      </c>
      <c r="E61" s="295">
        <v>0</v>
      </c>
      <c r="F61" s="354"/>
      <c r="G61" s="952"/>
      <c r="H61" s="958"/>
      <c r="I61" s="355" t="s">
        <v>59</v>
      </c>
      <c r="J61" s="356" t="s">
        <v>125</v>
      </c>
      <c r="K61" s="357">
        <f t="shared" si="10"/>
        <v>1095.81</v>
      </c>
      <c r="L61" s="357">
        <f t="shared" si="11"/>
        <v>2055.4</v>
      </c>
      <c r="M61" s="358"/>
      <c r="N61" s="361">
        <v>4</v>
      </c>
      <c r="O61" s="378" t="s">
        <v>159</v>
      </c>
      <c r="P61" s="35">
        <f>IF(OR(ISNUMBER(K50),ISNUMBER(K51),ISNUMBER(K52),ISNUMBER(K53)),SUM(K50:K53),"")</f>
        <v>4013.4</v>
      </c>
      <c r="Q61" s="35">
        <f>IF(OR(ISNUMBER(L49),ISNUMBER(L50),ISNUMBER(L52),ISNUMBER(L53)),SUM(L49:L53),"")</f>
        <v>641.15</v>
      </c>
    </row>
    <row r="62" spans="1:17" ht="25.5">
      <c r="A62" s="955"/>
      <c r="B62" s="352" t="s">
        <v>206</v>
      </c>
      <c r="C62" s="353" t="s">
        <v>279</v>
      </c>
      <c r="D62" s="295">
        <v>45.98</v>
      </c>
      <c r="E62" s="295">
        <v>20.55</v>
      </c>
      <c r="F62" s="354"/>
      <c r="G62" s="952"/>
      <c r="H62" s="958"/>
      <c r="I62" s="355" t="s">
        <v>60</v>
      </c>
      <c r="J62" s="373" t="s">
        <v>163</v>
      </c>
      <c r="K62" s="357">
        <f t="shared" si="10"/>
        <v>0.44</v>
      </c>
      <c r="L62" s="357">
        <f t="shared" si="11"/>
        <v>0.19</v>
      </c>
      <c r="M62" s="358"/>
      <c r="N62" s="361">
        <v>5</v>
      </c>
      <c r="O62" s="379" t="s">
        <v>399</v>
      </c>
      <c r="P62" s="35">
        <f>K64</f>
        <v>76.686999999999998</v>
      </c>
      <c r="Q62" s="35">
        <f>L64</f>
        <v>48.127000000000002</v>
      </c>
    </row>
    <row r="63" spans="1:17" ht="12.75">
      <c r="A63" s="955"/>
      <c r="B63" s="352" t="s">
        <v>228</v>
      </c>
      <c r="C63" s="353" t="s">
        <v>301</v>
      </c>
      <c r="D63" s="295">
        <v>1095.81</v>
      </c>
      <c r="E63" s="295">
        <v>2055.4</v>
      </c>
      <c r="F63" s="354"/>
      <c r="G63" s="953"/>
      <c r="H63" s="959"/>
      <c r="I63" s="355" t="s">
        <v>61</v>
      </c>
      <c r="J63" s="356" t="s">
        <v>126</v>
      </c>
      <c r="K63" s="357">
        <f t="shared" si="10"/>
        <v>136</v>
      </c>
      <c r="L63" s="357">
        <f t="shared" si="11"/>
        <v>108.8</v>
      </c>
      <c r="M63" s="358"/>
      <c r="N63" s="362">
        <v>6</v>
      </c>
      <c r="O63" s="363" t="s">
        <v>462</v>
      </c>
      <c r="P63" s="35">
        <f t="shared" ref="P63:Q63" si="14">K65</f>
        <v>63798.5</v>
      </c>
      <c r="Q63" s="35">
        <f t="shared" si="14"/>
        <v>71211.5</v>
      </c>
    </row>
    <row r="64" spans="1:17" ht="12.75">
      <c r="A64" s="955"/>
      <c r="B64" s="352" t="s">
        <v>224</v>
      </c>
      <c r="C64" s="353" t="s">
        <v>297</v>
      </c>
      <c r="D64" s="295">
        <v>0.44</v>
      </c>
      <c r="E64" s="295">
        <v>0.19</v>
      </c>
      <c r="F64" s="354"/>
      <c r="G64" s="951" t="s">
        <v>62</v>
      </c>
      <c r="H64" s="957" t="s">
        <v>164</v>
      </c>
      <c r="I64" s="355" t="s">
        <v>63</v>
      </c>
      <c r="J64" s="356" t="s">
        <v>165</v>
      </c>
      <c r="K64" s="357">
        <f t="shared" si="10"/>
        <v>76.686999999999998</v>
      </c>
      <c r="L64" s="357">
        <f t="shared" si="11"/>
        <v>48.127000000000002</v>
      </c>
      <c r="M64" s="358"/>
      <c r="N64" s="362">
        <v>7</v>
      </c>
      <c r="O64" s="363" t="s">
        <v>463</v>
      </c>
      <c r="P64" s="35">
        <f>IF(OR(ISNUMBER(K66),ISNUMBER(K69)),SUM(K66,K69),"")</f>
        <v>248.26</v>
      </c>
      <c r="Q64" s="35">
        <f>IF(OR(ISNUMBER(L66),ISNUMBER(L69)),SUM(L66,L69),"")</f>
        <v>258.42</v>
      </c>
    </row>
    <row r="65" spans="1:17" ht="12.75">
      <c r="A65" s="956"/>
      <c r="B65" s="352" t="s">
        <v>203</v>
      </c>
      <c r="C65" s="353" t="s">
        <v>276</v>
      </c>
      <c r="D65" s="295">
        <v>136</v>
      </c>
      <c r="E65" s="295">
        <v>108.8</v>
      </c>
      <c r="F65" s="354"/>
      <c r="G65" s="952"/>
      <c r="H65" s="958"/>
      <c r="I65" s="355" t="s">
        <v>64</v>
      </c>
      <c r="J65" s="356" t="s">
        <v>127</v>
      </c>
      <c r="K65" s="357">
        <f t="shared" ref="K65:K78" si="15">IF(ISNUMBER(D67),D67,"")</f>
        <v>63798.5</v>
      </c>
      <c r="L65" s="357">
        <f t="shared" ref="L65:L78" si="16">IF(ISNUMBER(E67),E67,"")</f>
        <v>71211.5</v>
      </c>
      <c r="M65" s="358"/>
      <c r="N65" s="362">
        <v>8</v>
      </c>
      <c r="O65" s="380" t="s">
        <v>133</v>
      </c>
      <c r="P65" s="35">
        <f>K78</f>
        <v>0.2</v>
      </c>
      <c r="Q65" s="35">
        <f>L78</f>
        <v>0</v>
      </c>
    </row>
    <row r="66" spans="1:17" ht="12.75">
      <c r="A66" s="960" t="s">
        <v>62</v>
      </c>
      <c r="B66" s="352" t="s">
        <v>192</v>
      </c>
      <c r="C66" s="353" t="s">
        <v>265</v>
      </c>
      <c r="D66" s="295">
        <f>4511*B87/1000</f>
        <v>76.686999999999998</v>
      </c>
      <c r="E66" s="295">
        <f>2831*B87/1000</f>
        <v>48.127000000000002</v>
      </c>
      <c r="F66" s="354"/>
      <c r="G66" s="952"/>
      <c r="H66" s="958"/>
      <c r="I66" s="355" t="s">
        <v>65</v>
      </c>
      <c r="J66" s="356" t="s">
        <v>166</v>
      </c>
      <c r="K66" s="357">
        <f t="shared" si="15"/>
        <v>0</v>
      </c>
      <c r="L66" s="357">
        <f t="shared" si="16"/>
        <v>0</v>
      </c>
      <c r="M66" s="358"/>
      <c r="N66" s="338"/>
      <c r="O66" s="338"/>
      <c r="P66" s="338"/>
      <c r="Q66" s="338"/>
    </row>
    <row r="67" spans="1:17" ht="12.75">
      <c r="A67" s="961"/>
      <c r="B67" s="352" t="s">
        <v>223</v>
      </c>
      <c r="C67" s="353" t="s">
        <v>296</v>
      </c>
      <c r="D67" s="295">
        <v>63798.5</v>
      </c>
      <c r="E67" s="295">
        <v>71211.5</v>
      </c>
      <c r="F67" s="354"/>
      <c r="G67" s="952"/>
      <c r="H67" s="958"/>
      <c r="I67" s="355" t="s">
        <v>66</v>
      </c>
      <c r="J67" s="356" t="s">
        <v>173</v>
      </c>
      <c r="K67" s="357">
        <f t="shared" si="15"/>
        <v>293.16000000000003</v>
      </c>
      <c r="L67" s="357">
        <f t="shared" si="16"/>
        <v>281.95999999999998</v>
      </c>
      <c r="M67" s="358"/>
      <c r="N67" s="338"/>
      <c r="O67" s="338"/>
      <c r="P67" s="338"/>
      <c r="Q67" s="338"/>
    </row>
    <row r="68" spans="1:17" ht="12.75">
      <c r="A68" s="961"/>
      <c r="B68" s="352" t="s">
        <v>199</v>
      </c>
      <c r="C68" s="353" t="s">
        <v>272</v>
      </c>
      <c r="D68" s="295">
        <v>0</v>
      </c>
      <c r="E68" s="295">
        <v>0</v>
      </c>
      <c r="F68" s="354"/>
      <c r="G68" s="952"/>
      <c r="H68" s="958"/>
      <c r="I68" s="355" t="s">
        <v>67</v>
      </c>
      <c r="J68" s="356" t="s">
        <v>174</v>
      </c>
      <c r="K68" s="357">
        <f t="shared" si="15"/>
        <v>24.53</v>
      </c>
      <c r="L68" s="357">
        <f t="shared" si="16"/>
        <v>13.09</v>
      </c>
      <c r="M68" s="358"/>
      <c r="N68" s="338"/>
      <c r="O68" s="338"/>
      <c r="P68" s="338"/>
      <c r="Q68" s="338"/>
    </row>
    <row r="69" spans="1:17" ht="12.75">
      <c r="A69" s="961"/>
      <c r="B69" s="352" t="s">
        <v>200</v>
      </c>
      <c r="C69" s="353" t="s">
        <v>273</v>
      </c>
      <c r="D69" s="295">
        <v>293.16000000000003</v>
      </c>
      <c r="E69" s="295">
        <v>281.95999999999998</v>
      </c>
      <c r="F69" s="354"/>
      <c r="G69" s="952"/>
      <c r="H69" s="958"/>
      <c r="I69" s="355" t="s">
        <v>68</v>
      </c>
      <c r="J69" s="356" t="s">
        <v>175</v>
      </c>
      <c r="K69" s="357">
        <f t="shared" si="15"/>
        <v>248.26</v>
      </c>
      <c r="L69" s="357">
        <f t="shared" si="16"/>
        <v>258.42</v>
      </c>
      <c r="M69" s="358"/>
      <c r="N69" s="338"/>
      <c r="O69" s="338"/>
      <c r="P69" s="338"/>
      <c r="Q69" s="338"/>
    </row>
    <row r="70" spans="1:17" ht="12.75">
      <c r="A70" s="961"/>
      <c r="B70" s="352" t="s">
        <v>196</v>
      </c>
      <c r="C70" s="353" t="s">
        <v>269</v>
      </c>
      <c r="D70" s="295">
        <v>24.53</v>
      </c>
      <c r="E70" s="295">
        <v>13.09</v>
      </c>
      <c r="F70" s="354"/>
      <c r="G70" s="952"/>
      <c r="H70" s="958"/>
      <c r="I70" s="355" t="s">
        <v>128</v>
      </c>
      <c r="J70" s="356" t="s">
        <v>167</v>
      </c>
      <c r="K70" s="370">
        <f t="shared" si="15"/>
        <v>19258.12</v>
      </c>
      <c r="L70" s="370">
        <f t="shared" si="16"/>
        <v>42627.44</v>
      </c>
      <c r="M70" s="358"/>
      <c r="N70" s="338"/>
      <c r="O70" s="338"/>
      <c r="P70" s="338"/>
      <c r="Q70" s="338"/>
    </row>
    <row r="71" spans="1:17" ht="12.75">
      <c r="A71" s="961"/>
      <c r="B71" s="352" t="s">
        <v>198</v>
      </c>
      <c r="C71" s="353" t="s">
        <v>271</v>
      </c>
      <c r="D71" s="295">
        <v>248.26</v>
      </c>
      <c r="E71" s="295">
        <v>258.42</v>
      </c>
      <c r="F71" s="354"/>
      <c r="G71" s="952"/>
      <c r="H71" s="958"/>
      <c r="I71" s="355" t="s">
        <v>69</v>
      </c>
      <c r="J71" s="356" t="s">
        <v>129</v>
      </c>
      <c r="K71" s="357">
        <f t="shared" si="15"/>
        <v>6706.91</v>
      </c>
      <c r="L71" s="357">
        <f t="shared" si="16"/>
        <v>10020.66</v>
      </c>
      <c r="M71" s="358"/>
      <c r="N71" s="338"/>
      <c r="O71" s="338"/>
      <c r="P71" s="338"/>
      <c r="Q71" s="338"/>
    </row>
    <row r="72" spans="1:17" ht="12.75">
      <c r="A72" s="961"/>
      <c r="B72" s="352" t="s">
        <v>220</v>
      </c>
      <c r="C72" s="353" t="s">
        <v>293</v>
      </c>
      <c r="D72" s="295">
        <v>19258.12</v>
      </c>
      <c r="E72" s="295">
        <v>42627.44</v>
      </c>
      <c r="F72" s="354"/>
      <c r="G72" s="953"/>
      <c r="H72" s="959"/>
      <c r="I72" s="355" t="s">
        <v>70</v>
      </c>
      <c r="J72" s="356" t="s">
        <v>168</v>
      </c>
      <c r="K72" s="357">
        <f t="shared" si="15"/>
        <v>965.41</v>
      </c>
      <c r="L72" s="357">
        <f t="shared" si="16"/>
        <v>1950.96</v>
      </c>
      <c r="M72" s="358"/>
      <c r="N72" s="338"/>
      <c r="O72" s="338"/>
      <c r="P72" s="338"/>
      <c r="Q72" s="338"/>
    </row>
    <row r="73" spans="1:17" ht="15" customHeight="1">
      <c r="A73" s="961"/>
      <c r="B73" s="352" t="s">
        <v>181</v>
      </c>
      <c r="C73" s="353" t="s">
        <v>254</v>
      </c>
      <c r="D73" s="295">
        <v>6706.91</v>
      </c>
      <c r="E73" s="295">
        <v>10020.66</v>
      </c>
      <c r="F73" s="354"/>
      <c r="G73" s="951" t="s">
        <v>71</v>
      </c>
      <c r="H73" s="957" t="s">
        <v>169</v>
      </c>
      <c r="I73" s="355" t="s">
        <v>72</v>
      </c>
      <c r="J73" s="356" t="s">
        <v>170</v>
      </c>
      <c r="K73" s="357">
        <f t="shared" si="15"/>
        <v>2804.55</v>
      </c>
      <c r="L73" s="357">
        <f t="shared" si="16"/>
        <v>3427.28</v>
      </c>
      <c r="M73" s="358"/>
      <c r="N73" s="338"/>
      <c r="O73" s="338"/>
      <c r="P73" s="338"/>
      <c r="Q73" s="338"/>
    </row>
    <row r="74" spans="1:17" ht="12.75">
      <c r="A74" s="962"/>
      <c r="B74" s="352" t="s">
        <v>187</v>
      </c>
      <c r="C74" s="353" t="s">
        <v>260</v>
      </c>
      <c r="D74" s="295">
        <v>965.41</v>
      </c>
      <c r="E74" s="295">
        <v>1950.96</v>
      </c>
      <c r="F74" s="354"/>
      <c r="G74" s="952"/>
      <c r="H74" s="958"/>
      <c r="I74" s="355" t="s">
        <v>73</v>
      </c>
      <c r="J74" s="356" t="s">
        <v>130</v>
      </c>
      <c r="K74" s="357">
        <f t="shared" si="15"/>
        <v>431.84</v>
      </c>
      <c r="L74" s="357">
        <f t="shared" si="16"/>
        <v>342.61</v>
      </c>
      <c r="M74" s="358"/>
      <c r="N74" s="338"/>
      <c r="O74" s="338"/>
      <c r="P74" s="338"/>
      <c r="Q74" s="338"/>
    </row>
    <row r="75" spans="1:17" ht="12.75">
      <c r="A75" s="960" t="s">
        <v>71</v>
      </c>
      <c r="B75" s="352" t="s">
        <v>190</v>
      </c>
      <c r="C75" s="353" t="s">
        <v>263</v>
      </c>
      <c r="D75" s="295">
        <v>2804.55</v>
      </c>
      <c r="E75" s="295">
        <v>3427.28</v>
      </c>
      <c r="F75" s="354"/>
      <c r="G75" s="953"/>
      <c r="H75" s="959"/>
      <c r="I75" s="355" t="s">
        <v>74</v>
      </c>
      <c r="J75" s="356" t="s">
        <v>131</v>
      </c>
      <c r="K75" s="357">
        <f t="shared" si="15"/>
        <v>4.3099999999999996</v>
      </c>
      <c r="L75" s="357">
        <f t="shared" si="16"/>
        <v>6.66</v>
      </c>
      <c r="M75" s="358"/>
      <c r="N75" s="338"/>
      <c r="O75" s="338"/>
      <c r="P75" s="338"/>
      <c r="Q75" s="338"/>
    </row>
    <row r="76" spans="1:17" ht="12.75">
      <c r="A76" s="961"/>
      <c r="B76" s="352" t="s">
        <v>243</v>
      </c>
      <c r="C76" s="353" t="s">
        <v>315</v>
      </c>
      <c r="D76" s="295">
        <v>431.84</v>
      </c>
      <c r="E76" s="295">
        <v>342.61</v>
      </c>
      <c r="F76" s="354"/>
      <c r="G76" s="951" t="s">
        <v>75</v>
      </c>
      <c r="H76" s="957" t="s">
        <v>76</v>
      </c>
      <c r="I76" s="355" t="s">
        <v>77</v>
      </c>
      <c r="J76" s="373" t="s">
        <v>171</v>
      </c>
      <c r="K76" s="357">
        <f t="shared" si="15"/>
        <v>152.47</v>
      </c>
      <c r="L76" s="357">
        <f t="shared" si="16"/>
        <v>205.24</v>
      </c>
      <c r="M76" s="358"/>
      <c r="N76" s="338"/>
      <c r="O76" s="338"/>
      <c r="P76" s="338"/>
      <c r="Q76" s="338"/>
    </row>
    <row r="77" spans="1:17" ht="12.75">
      <c r="A77" s="961"/>
      <c r="B77" s="352" t="s">
        <v>240</v>
      </c>
      <c r="C77" s="353" t="s">
        <v>312</v>
      </c>
      <c r="D77" s="295">
        <v>4.3099999999999996</v>
      </c>
      <c r="E77" s="295">
        <v>6.66</v>
      </c>
      <c r="F77" s="354"/>
      <c r="G77" s="952"/>
      <c r="H77" s="958"/>
      <c r="I77" s="355" t="s">
        <v>78</v>
      </c>
      <c r="J77" s="356" t="s">
        <v>132</v>
      </c>
      <c r="K77" s="357">
        <f t="shared" si="15"/>
        <v>2.2200000000000002</v>
      </c>
      <c r="L77" s="357">
        <f t="shared" si="16"/>
        <v>1.62</v>
      </c>
      <c r="M77" s="358"/>
      <c r="N77" s="338"/>
      <c r="O77" s="338"/>
      <c r="P77" s="338"/>
      <c r="Q77" s="338"/>
    </row>
    <row r="78" spans="1:17" ht="12.75">
      <c r="A78" s="962"/>
      <c r="B78" s="352" t="s">
        <v>231</v>
      </c>
      <c r="C78" s="353" t="s">
        <v>304</v>
      </c>
      <c r="D78" s="295">
        <v>152.47</v>
      </c>
      <c r="E78" s="295">
        <v>205.24</v>
      </c>
      <c r="F78" s="354"/>
      <c r="G78" s="952"/>
      <c r="H78" s="958"/>
      <c r="I78" s="355" t="s">
        <v>134</v>
      </c>
      <c r="J78" s="356" t="s">
        <v>133</v>
      </c>
      <c r="K78" s="370">
        <f t="shared" si="15"/>
        <v>0.2</v>
      </c>
      <c r="L78" s="370">
        <f t="shared" si="16"/>
        <v>0</v>
      </c>
      <c r="M78" s="358"/>
      <c r="N78" s="338"/>
      <c r="O78" s="338"/>
      <c r="P78" s="338"/>
      <c r="Q78" s="338"/>
    </row>
    <row r="79" spans="1:17" ht="12.75">
      <c r="A79" s="960" t="s">
        <v>75</v>
      </c>
      <c r="B79" s="352" t="s">
        <v>238</v>
      </c>
      <c r="C79" s="353" t="s">
        <v>311</v>
      </c>
      <c r="D79" s="295">
        <v>2.2200000000000002</v>
      </c>
      <c r="E79" s="295">
        <v>1.62</v>
      </c>
      <c r="F79" s="354"/>
      <c r="G79" s="953"/>
      <c r="H79" s="959"/>
      <c r="I79" s="355" t="s">
        <v>172</v>
      </c>
      <c r="J79" s="356" t="s">
        <v>135</v>
      </c>
      <c r="K79" s="357">
        <f t="shared" ref="K79:L79" si="17">IF(ISNUMBER(D38),D38,"")</f>
        <v>0.96</v>
      </c>
      <c r="L79" s="357">
        <f t="shared" si="17"/>
        <v>0</v>
      </c>
      <c r="M79" s="358"/>
      <c r="N79" s="338"/>
      <c r="O79" s="338"/>
      <c r="P79" s="338"/>
      <c r="Q79" s="338"/>
    </row>
    <row r="80" spans="1:17" ht="12.75">
      <c r="A80" s="962"/>
      <c r="B80" s="352" t="s">
        <v>229</v>
      </c>
      <c r="C80" s="353" t="s">
        <v>302</v>
      </c>
      <c r="D80" s="295">
        <v>0.2</v>
      </c>
      <c r="E80" s="295">
        <v>0</v>
      </c>
      <c r="F80" s="354"/>
      <c r="I80" s="338"/>
      <c r="J80" s="338"/>
      <c r="K80" s="338"/>
      <c r="L80" s="338"/>
      <c r="M80" s="358"/>
      <c r="N80" s="338"/>
      <c r="O80" s="338"/>
      <c r="P80" s="338"/>
      <c r="Q80" s="338"/>
    </row>
    <row r="81" spans="1:17" s="69" customFormat="1" ht="18.75" customHeight="1">
      <c r="D81" s="109"/>
      <c r="E81" s="110" t="s">
        <v>867</v>
      </c>
      <c r="F81" s="109"/>
      <c r="G81" s="111"/>
      <c r="H81" s="112"/>
      <c r="L81" s="107"/>
      <c r="M81" s="109"/>
      <c r="N81" s="107"/>
    </row>
    <row r="82" spans="1:17" ht="12.75">
      <c r="A82" s="338"/>
      <c r="B82" s="338"/>
      <c r="C82" s="338"/>
      <c r="D82" s="382"/>
      <c r="E82" s="382"/>
      <c r="F82" s="354"/>
      <c r="I82" s="338"/>
      <c r="J82" s="338"/>
      <c r="K82" s="338"/>
      <c r="L82" s="338"/>
      <c r="M82" s="358"/>
      <c r="N82" s="338"/>
      <c r="O82" s="338"/>
      <c r="P82" s="338"/>
      <c r="Q82" s="338"/>
    </row>
    <row r="83" spans="1:17" s="338" customFormat="1" ht="12.75">
      <c r="D83" s="382"/>
      <c r="E83" s="382"/>
      <c r="F83" s="354"/>
      <c r="G83" s="381"/>
      <c r="H83" s="358"/>
      <c r="M83" s="358"/>
    </row>
    <row r="84" spans="1:17" s="338" customFormat="1" ht="18.75">
      <c r="B84" s="383" t="s">
        <v>844</v>
      </c>
      <c r="D84" s="384"/>
      <c r="E84" s="384"/>
      <c r="F84" s="354"/>
      <c r="G84" s="381"/>
      <c r="H84" s="358"/>
      <c r="M84" s="358"/>
    </row>
    <row r="85" spans="1:17" s="338" customFormat="1">
      <c r="B85" s="804" t="s">
        <v>887</v>
      </c>
      <c r="D85" s="384"/>
      <c r="E85" s="384"/>
      <c r="F85" s="336"/>
      <c r="G85" s="381"/>
      <c r="H85" s="385"/>
      <c r="M85" s="337"/>
    </row>
    <row r="86" spans="1:17" s="338" customFormat="1">
      <c r="B86" s="862" t="s">
        <v>1040</v>
      </c>
      <c r="D86" s="384"/>
      <c r="E86" s="384"/>
      <c r="F86" s="336"/>
      <c r="G86" s="381"/>
      <c r="H86" s="358"/>
      <c r="M86" s="337"/>
    </row>
    <row r="87" spans="1:17" s="338" customFormat="1" ht="15" customHeight="1">
      <c r="B87" s="863">
        <v>17</v>
      </c>
      <c r="D87" s="384"/>
      <c r="E87" s="384"/>
      <c r="F87" s="336"/>
      <c r="G87" s="381"/>
      <c r="H87" s="358"/>
      <c r="M87" s="337"/>
    </row>
    <row r="88" spans="1:17" s="338" customFormat="1">
      <c r="B88" s="862" t="s">
        <v>1041</v>
      </c>
      <c r="D88" s="384"/>
      <c r="E88" s="384"/>
      <c r="F88" s="336"/>
      <c r="G88" s="381"/>
      <c r="H88" s="358"/>
      <c r="M88" s="337"/>
    </row>
    <row r="89" spans="1:17" s="338" customFormat="1">
      <c r="B89" s="296"/>
      <c r="D89" s="384"/>
      <c r="E89" s="384"/>
      <c r="F89" s="336"/>
      <c r="G89" s="381"/>
      <c r="H89" s="358"/>
      <c r="M89" s="337"/>
    </row>
    <row r="90" spans="1:17" s="338" customFormat="1">
      <c r="B90" s="296"/>
      <c r="D90" s="384"/>
      <c r="E90" s="384"/>
      <c r="F90" s="336"/>
      <c r="G90" s="381"/>
      <c r="H90" s="358"/>
      <c r="M90" s="337"/>
    </row>
    <row r="91" spans="1:17" s="338" customFormat="1">
      <c r="B91" s="296"/>
      <c r="D91" s="384"/>
      <c r="E91" s="384"/>
      <c r="F91" s="336"/>
      <c r="G91" s="381"/>
      <c r="H91" s="358"/>
      <c r="M91" s="337"/>
    </row>
    <row r="92" spans="1:17" s="338" customFormat="1">
      <c r="B92" s="296"/>
      <c r="D92" s="384"/>
      <c r="E92" s="384"/>
      <c r="F92" s="336"/>
      <c r="G92" s="381"/>
      <c r="H92" s="358"/>
      <c r="M92" s="337"/>
    </row>
    <row r="93" spans="1:17" s="338" customFormat="1">
      <c r="B93" s="296"/>
      <c r="D93" s="384"/>
      <c r="E93" s="384"/>
      <c r="F93" s="336"/>
      <c r="G93" s="381"/>
      <c r="H93" s="358"/>
      <c r="M93" s="337"/>
    </row>
    <row r="94" spans="1:17" s="338" customFormat="1">
      <c r="B94" s="297"/>
      <c r="D94" s="384"/>
      <c r="E94" s="384"/>
      <c r="F94" s="336"/>
      <c r="G94" s="381"/>
      <c r="H94" s="358"/>
      <c r="M94" s="337"/>
    </row>
    <row r="95" spans="1:17" s="338" customFormat="1">
      <c r="D95" s="386"/>
      <c r="E95" s="386"/>
      <c r="F95" s="336"/>
      <c r="G95" s="381"/>
      <c r="H95" s="358"/>
      <c r="M95" s="337"/>
    </row>
    <row r="96" spans="1:17" s="338" customFormat="1">
      <c r="D96" s="386"/>
      <c r="E96" s="386"/>
      <c r="F96" s="336"/>
      <c r="G96" s="381"/>
      <c r="H96" s="358"/>
      <c r="M96" s="337"/>
    </row>
    <row r="97" spans="4:13" s="338" customFormat="1">
      <c r="D97" s="386"/>
      <c r="E97" s="386"/>
      <c r="F97" s="336"/>
      <c r="G97" s="381"/>
      <c r="H97" s="358"/>
      <c r="M97" s="337"/>
    </row>
    <row r="98" spans="4:13" s="338" customFormat="1">
      <c r="D98" s="386"/>
      <c r="E98" s="386"/>
      <c r="F98" s="336"/>
      <c r="G98" s="381"/>
      <c r="H98" s="358"/>
      <c r="M98" s="337"/>
    </row>
    <row r="99" spans="4:13" s="338" customFormat="1">
      <c r="D99" s="386"/>
      <c r="E99" s="386"/>
      <c r="F99" s="336"/>
      <c r="G99" s="381"/>
      <c r="H99" s="358"/>
      <c r="M99" s="337"/>
    </row>
    <row r="100" spans="4:13" s="338" customFormat="1">
      <c r="D100" s="386"/>
      <c r="E100" s="386"/>
      <c r="F100" s="336"/>
      <c r="G100" s="381"/>
      <c r="H100" s="358"/>
      <c r="M100" s="337"/>
    </row>
    <row r="101" spans="4:13" s="338" customFormat="1">
      <c r="D101" s="386"/>
      <c r="E101" s="386"/>
      <c r="F101" s="336"/>
      <c r="G101" s="381"/>
      <c r="H101" s="358"/>
      <c r="M101" s="337"/>
    </row>
    <row r="102" spans="4:13" s="338" customFormat="1">
      <c r="D102" s="386"/>
      <c r="E102" s="386"/>
      <c r="F102" s="336"/>
      <c r="G102" s="381"/>
      <c r="H102" s="358"/>
      <c r="M102" s="337"/>
    </row>
    <row r="103" spans="4:13" s="338" customFormat="1">
      <c r="D103" s="386"/>
      <c r="E103" s="386"/>
      <c r="F103" s="336"/>
      <c r="G103" s="381"/>
      <c r="H103" s="358"/>
      <c r="M103" s="337"/>
    </row>
    <row r="104" spans="4:13" s="338" customFormat="1">
      <c r="D104" s="386"/>
      <c r="E104" s="386"/>
      <c r="F104" s="336"/>
      <c r="G104" s="381"/>
      <c r="H104" s="358"/>
      <c r="M104" s="337"/>
    </row>
    <row r="105" spans="4:13" s="338" customFormat="1">
      <c r="D105" s="386"/>
      <c r="E105" s="386"/>
      <c r="F105" s="336"/>
      <c r="G105" s="381"/>
      <c r="H105" s="358"/>
      <c r="M105" s="337"/>
    </row>
    <row r="106" spans="4:13" s="338" customFormat="1">
      <c r="D106" s="386"/>
      <c r="E106" s="386"/>
      <c r="F106" s="336"/>
      <c r="G106" s="381"/>
      <c r="H106" s="358"/>
      <c r="M106" s="337"/>
    </row>
    <row r="107" spans="4:13" s="338" customFormat="1">
      <c r="D107" s="386"/>
      <c r="E107" s="386"/>
      <c r="F107" s="336"/>
      <c r="G107" s="381"/>
      <c r="H107" s="358"/>
      <c r="M107" s="337"/>
    </row>
    <row r="108" spans="4:13" s="338" customFormat="1">
      <c r="D108" s="386"/>
      <c r="E108" s="386"/>
      <c r="F108" s="336"/>
      <c r="G108" s="381"/>
      <c r="H108" s="358"/>
      <c r="M108" s="337"/>
    </row>
    <row r="109" spans="4:13" s="338" customFormat="1">
      <c r="D109" s="386"/>
      <c r="E109" s="386"/>
      <c r="F109" s="336"/>
      <c r="G109" s="381"/>
      <c r="H109" s="358"/>
      <c r="M109" s="337"/>
    </row>
    <row r="110" spans="4:13" s="338" customFormat="1">
      <c r="D110" s="386"/>
      <c r="E110" s="386"/>
      <c r="F110" s="336"/>
      <c r="G110" s="381"/>
      <c r="H110" s="358"/>
      <c r="M110" s="337"/>
    </row>
    <row r="111" spans="4:13" s="338" customFormat="1">
      <c r="D111" s="386"/>
      <c r="E111" s="386"/>
      <c r="F111" s="336"/>
      <c r="G111" s="381"/>
      <c r="H111" s="358"/>
      <c r="M111" s="337"/>
    </row>
    <row r="112" spans="4:13" s="338" customFormat="1">
      <c r="D112" s="386"/>
      <c r="E112" s="386"/>
      <c r="F112" s="336"/>
      <c r="G112" s="381"/>
      <c r="H112" s="358"/>
      <c r="M112" s="337"/>
    </row>
    <row r="113" spans="4:13" s="338" customFormat="1">
      <c r="D113" s="386"/>
      <c r="E113" s="386"/>
      <c r="F113" s="336"/>
      <c r="G113" s="381"/>
      <c r="H113" s="358"/>
      <c r="M113" s="337"/>
    </row>
    <row r="114" spans="4:13" s="338" customFormat="1">
      <c r="D114" s="386"/>
      <c r="E114" s="386"/>
      <c r="F114" s="336"/>
      <c r="G114" s="381"/>
      <c r="H114" s="358"/>
      <c r="M114" s="337"/>
    </row>
    <row r="115" spans="4:13" s="338" customFormat="1">
      <c r="D115" s="386"/>
      <c r="E115" s="386"/>
      <c r="F115" s="336"/>
      <c r="G115" s="381"/>
      <c r="H115" s="358"/>
      <c r="M115" s="337"/>
    </row>
    <row r="116" spans="4:13" s="338" customFormat="1">
      <c r="D116" s="386"/>
      <c r="E116" s="386"/>
      <c r="F116" s="336"/>
      <c r="G116" s="381"/>
      <c r="H116" s="358"/>
      <c r="M116" s="337"/>
    </row>
    <row r="117" spans="4:13" s="338" customFormat="1">
      <c r="D117" s="386"/>
      <c r="E117" s="386"/>
      <c r="F117" s="336"/>
      <c r="G117" s="381"/>
      <c r="H117" s="358"/>
      <c r="M117" s="337"/>
    </row>
    <row r="118" spans="4:13" s="338" customFormat="1">
      <c r="D118" s="386"/>
      <c r="E118" s="386"/>
      <c r="F118" s="336"/>
      <c r="G118" s="381"/>
      <c r="H118" s="358"/>
      <c r="M118" s="337"/>
    </row>
    <row r="119" spans="4:13" s="338" customFormat="1">
      <c r="D119" s="386"/>
      <c r="E119" s="386"/>
      <c r="F119" s="336"/>
      <c r="G119" s="381"/>
      <c r="H119" s="358"/>
      <c r="M119" s="337"/>
    </row>
    <row r="120" spans="4:13" s="338" customFormat="1">
      <c r="D120" s="386"/>
      <c r="E120" s="386"/>
      <c r="F120" s="336"/>
      <c r="G120" s="381"/>
      <c r="H120" s="358"/>
      <c r="M120" s="337"/>
    </row>
    <row r="121" spans="4:13" s="338" customFormat="1">
      <c r="D121" s="386"/>
      <c r="E121" s="386"/>
      <c r="F121" s="336"/>
      <c r="G121" s="381"/>
      <c r="H121" s="358"/>
      <c r="M121" s="337"/>
    </row>
    <row r="122" spans="4:13" s="338" customFormat="1">
      <c r="D122" s="386"/>
      <c r="E122" s="386"/>
      <c r="F122" s="336"/>
      <c r="G122" s="381"/>
      <c r="H122" s="358"/>
      <c r="M122" s="337"/>
    </row>
    <row r="123" spans="4:13" s="338" customFormat="1">
      <c r="D123" s="386"/>
      <c r="E123" s="386"/>
      <c r="F123" s="336"/>
      <c r="G123" s="381"/>
      <c r="H123" s="358"/>
      <c r="M123" s="337"/>
    </row>
    <row r="124" spans="4:13" s="338" customFormat="1">
      <c r="D124" s="386"/>
      <c r="E124" s="386"/>
      <c r="F124" s="336"/>
      <c r="G124" s="381"/>
      <c r="H124" s="358"/>
      <c r="M124" s="337"/>
    </row>
    <row r="125" spans="4:13" s="338" customFormat="1">
      <c r="D125" s="386"/>
      <c r="E125" s="386"/>
      <c r="F125" s="336"/>
      <c r="G125" s="381"/>
      <c r="H125" s="358"/>
      <c r="M125" s="337"/>
    </row>
    <row r="126" spans="4:13" s="338" customFormat="1">
      <c r="D126" s="386"/>
      <c r="E126" s="386"/>
      <c r="F126" s="336"/>
      <c r="G126" s="381"/>
      <c r="H126" s="358"/>
      <c r="M126" s="337"/>
    </row>
    <row r="127" spans="4:13" s="338" customFormat="1">
      <c r="D127" s="386"/>
      <c r="E127" s="386"/>
      <c r="F127" s="336"/>
      <c r="G127" s="381"/>
      <c r="H127" s="358"/>
      <c r="M127" s="337"/>
    </row>
    <row r="128" spans="4:13" s="338" customFormat="1">
      <c r="D128" s="386"/>
      <c r="E128" s="386"/>
      <c r="F128" s="336"/>
      <c r="G128" s="381"/>
      <c r="H128" s="358"/>
      <c r="M128" s="337"/>
    </row>
    <row r="129" spans="4:13" s="338" customFormat="1">
      <c r="D129" s="386"/>
      <c r="E129" s="386"/>
      <c r="F129" s="336"/>
      <c r="G129" s="381"/>
      <c r="H129" s="358"/>
      <c r="M129" s="337"/>
    </row>
    <row r="130" spans="4:13" s="338" customFormat="1">
      <c r="D130" s="386"/>
      <c r="E130" s="386"/>
      <c r="F130" s="336"/>
      <c r="G130" s="381"/>
      <c r="H130" s="358"/>
      <c r="M130" s="337"/>
    </row>
    <row r="131" spans="4:13" s="338" customFormat="1">
      <c r="D131" s="386"/>
      <c r="E131" s="386"/>
      <c r="F131" s="336"/>
      <c r="G131" s="381"/>
      <c r="H131" s="358"/>
      <c r="M131" s="337"/>
    </row>
    <row r="132" spans="4:13" s="338" customFormat="1">
      <c r="D132" s="386"/>
      <c r="E132" s="386"/>
      <c r="F132" s="336"/>
      <c r="G132" s="381"/>
      <c r="H132" s="358"/>
      <c r="M132" s="337"/>
    </row>
    <row r="133" spans="4:13" s="338" customFormat="1">
      <c r="D133" s="386"/>
      <c r="E133" s="386"/>
      <c r="F133" s="336"/>
      <c r="G133" s="381"/>
      <c r="H133" s="358"/>
      <c r="M133" s="337"/>
    </row>
    <row r="134" spans="4:13" s="338" customFormat="1">
      <c r="D134" s="386"/>
      <c r="E134" s="386"/>
      <c r="F134" s="336"/>
      <c r="G134" s="381"/>
      <c r="H134" s="358"/>
      <c r="M134" s="337"/>
    </row>
    <row r="135" spans="4:13" s="338" customFormat="1">
      <c r="D135" s="386"/>
      <c r="E135" s="386"/>
      <c r="F135" s="336"/>
      <c r="G135" s="381"/>
      <c r="H135" s="358"/>
      <c r="M135" s="337"/>
    </row>
    <row r="136" spans="4:13" s="338" customFormat="1">
      <c r="D136" s="386"/>
      <c r="E136" s="386"/>
      <c r="F136" s="336"/>
      <c r="G136" s="381"/>
      <c r="H136" s="358"/>
      <c r="M136" s="337"/>
    </row>
    <row r="137" spans="4:13" s="338" customFormat="1">
      <c r="D137" s="386"/>
      <c r="E137" s="386"/>
      <c r="F137" s="336"/>
      <c r="G137" s="381"/>
      <c r="H137" s="358"/>
      <c r="M137" s="337"/>
    </row>
    <row r="138" spans="4:13" s="338" customFormat="1">
      <c r="D138" s="386"/>
      <c r="E138" s="386"/>
      <c r="F138" s="336"/>
      <c r="G138" s="381"/>
      <c r="H138" s="358"/>
      <c r="M138" s="337"/>
    </row>
    <row r="139" spans="4:13" s="338" customFormat="1">
      <c r="D139" s="386"/>
      <c r="E139" s="386"/>
      <c r="F139" s="336"/>
      <c r="G139" s="381"/>
      <c r="H139" s="358"/>
      <c r="M139" s="337"/>
    </row>
    <row r="140" spans="4:13" s="338" customFormat="1">
      <c r="D140" s="386"/>
      <c r="E140" s="386"/>
      <c r="F140" s="336"/>
      <c r="G140" s="381"/>
      <c r="H140" s="358"/>
      <c r="M140" s="337"/>
    </row>
    <row r="141" spans="4:13" s="338" customFormat="1">
      <c r="D141" s="386"/>
      <c r="E141" s="386"/>
      <c r="F141" s="336"/>
      <c r="G141" s="381"/>
      <c r="H141" s="358"/>
      <c r="M141" s="337"/>
    </row>
    <row r="142" spans="4:13" s="338" customFormat="1">
      <c r="D142" s="386"/>
      <c r="E142" s="386"/>
      <c r="F142" s="336"/>
      <c r="G142" s="381"/>
      <c r="H142" s="358"/>
      <c r="M142" s="337"/>
    </row>
    <row r="143" spans="4:13" s="338" customFormat="1">
      <c r="D143" s="386"/>
      <c r="E143" s="386"/>
      <c r="F143" s="336"/>
      <c r="G143" s="381"/>
      <c r="H143" s="358"/>
      <c r="M143" s="337"/>
    </row>
    <row r="144" spans="4:13" s="338" customFormat="1">
      <c r="D144" s="386"/>
      <c r="E144" s="386"/>
      <c r="F144" s="336"/>
      <c r="G144" s="381"/>
      <c r="H144" s="358"/>
      <c r="M144" s="337"/>
    </row>
    <row r="145" spans="4:13" s="338" customFormat="1">
      <c r="D145" s="386"/>
      <c r="E145" s="386"/>
      <c r="F145" s="336"/>
      <c r="G145" s="381"/>
      <c r="H145" s="358"/>
      <c r="M145" s="337"/>
    </row>
    <row r="146" spans="4:13" s="338" customFormat="1">
      <c r="D146" s="386"/>
      <c r="E146" s="386"/>
      <c r="F146" s="336"/>
      <c r="G146" s="381"/>
      <c r="H146" s="358"/>
      <c r="M146" s="337"/>
    </row>
    <row r="147" spans="4:13" s="338" customFormat="1">
      <c r="D147" s="386"/>
      <c r="E147" s="386"/>
      <c r="F147" s="336"/>
      <c r="G147" s="381"/>
      <c r="H147" s="358"/>
      <c r="M147" s="337"/>
    </row>
    <row r="148" spans="4:13" s="338" customFormat="1">
      <c r="D148" s="386"/>
      <c r="E148" s="386"/>
      <c r="F148" s="336"/>
      <c r="G148" s="381"/>
      <c r="H148" s="358"/>
      <c r="M148" s="337"/>
    </row>
    <row r="149" spans="4:13" s="338" customFormat="1">
      <c r="D149" s="386"/>
      <c r="E149" s="386"/>
      <c r="F149" s="336"/>
      <c r="G149" s="381"/>
      <c r="H149" s="358"/>
      <c r="M149" s="337"/>
    </row>
    <row r="150" spans="4:13" s="338" customFormat="1">
      <c r="D150" s="386"/>
      <c r="E150" s="386"/>
      <c r="F150" s="336"/>
      <c r="G150" s="381"/>
      <c r="H150" s="358"/>
      <c r="M150" s="337"/>
    </row>
    <row r="151" spans="4:13" s="338" customFormat="1">
      <c r="D151" s="386"/>
      <c r="E151" s="386"/>
      <c r="F151" s="336"/>
      <c r="G151" s="381"/>
      <c r="H151" s="358"/>
      <c r="M151" s="337"/>
    </row>
    <row r="152" spans="4:13" s="338" customFormat="1">
      <c r="D152" s="386"/>
      <c r="E152" s="386"/>
      <c r="F152" s="336"/>
      <c r="G152" s="381"/>
      <c r="H152" s="358"/>
      <c r="M152" s="337"/>
    </row>
    <row r="153" spans="4:13" s="338" customFormat="1">
      <c r="D153" s="386"/>
      <c r="E153" s="386"/>
      <c r="F153" s="336"/>
      <c r="G153" s="381"/>
      <c r="H153" s="358"/>
      <c r="M153" s="337"/>
    </row>
    <row r="154" spans="4:13" s="338" customFormat="1">
      <c r="D154" s="386"/>
      <c r="E154" s="386"/>
      <c r="F154" s="336"/>
      <c r="G154" s="381"/>
      <c r="H154" s="358"/>
      <c r="M154" s="337"/>
    </row>
    <row r="155" spans="4:13" s="338" customFormat="1">
      <c r="D155" s="386"/>
      <c r="E155" s="386"/>
      <c r="F155" s="336"/>
      <c r="G155" s="381"/>
      <c r="H155" s="358"/>
      <c r="M155" s="337"/>
    </row>
    <row r="156" spans="4:13" s="338" customFormat="1">
      <c r="D156" s="386"/>
      <c r="E156" s="386"/>
      <c r="F156" s="336"/>
      <c r="G156" s="381"/>
      <c r="H156" s="358"/>
      <c r="M156" s="337"/>
    </row>
    <row r="157" spans="4:13" s="338" customFormat="1">
      <c r="D157" s="386"/>
      <c r="E157" s="386"/>
      <c r="F157" s="336"/>
      <c r="G157" s="381"/>
      <c r="H157" s="358"/>
      <c r="M157" s="337"/>
    </row>
    <row r="158" spans="4:13" s="338" customFormat="1">
      <c r="D158" s="386"/>
      <c r="E158" s="386"/>
      <c r="F158" s="336"/>
      <c r="G158" s="381"/>
      <c r="H158" s="358"/>
      <c r="M158" s="337"/>
    </row>
    <row r="159" spans="4:13" s="338" customFormat="1">
      <c r="D159" s="386"/>
      <c r="E159" s="386"/>
      <c r="F159" s="336"/>
      <c r="G159" s="381"/>
      <c r="H159" s="358"/>
      <c r="M159" s="337"/>
    </row>
    <row r="160" spans="4:13" s="338" customFormat="1">
      <c r="D160" s="386"/>
      <c r="E160" s="386"/>
      <c r="F160" s="336"/>
      <c r="G160" s="381"/>
      <c r="H160" s="358"/>
      <c r="M160" s="337"/>
    </row>
    <row r="161" spans="4:13" s="338" customFormat="1">
      <c r="D161" s="386"/>
      <c r="E161" s="386"/>
      <c r="F161" s="336"/>
      <c r="G161" s="381"/>
      <c r="H161" s="358"/>
      <c r="M161" s="337"/>
    </row>
    <row r="162" spans="4:13" s="338" customFormat="1">
      <c r="D162" s="386"/>
      <c r="E162" s="386"/>
      <c r="F162" s="336"/>
      <c r="G162" s="381"/>
      <c r="H162" s="358"/>
      <c r="M162" s="337"/>
    </row>
    <row r="163" spans="4:13" s="338" customFormat="1">
      <c r="D163" s="386"/>
      <c r="E163" s="386"/>
      <c r="F163" s="336"/>
      <c r="G163" s="381"/>
      <c r="H163" s="358"/>
      <c r="M163" s="337"/>
    </row>
    <row r="164" spans="4:13" s="338" customFormat="1">
      <c r="D164" s="386"/>
      <c r="E164" s="386"/>
      <c r="F164" s="336"/>
      <c r="G164" s="381"/>
      <c r="H164" s="358"/>
      <c r="M164" s="337"/>
    </row>
    <row r="165" spans="4:13" s="338" customFormat="1">
      <c r="D165" s="386"/>
      <c r="E165" s="386"/>
      <c r="F165" s="336"/>
      <c r="G165" s="381"/>
      <c r="H165" s="358"/>
      <c r="M165" s="337"/>
    </row>
    <row r="166" spans="4:13" s="338" customFormat="1">
      <c r="D166" s="386"/>
      <c r="E166" s="386"/>
      <c r="F166" s="336"/>
      <c r="G166" s="381"/>
      <c r="H166" s="358"/>
      <c r="M166" s="337"/>
    </row>
    <row r="167" spans="4:13" s="338" customFormat="1">
      <c r="D167" s="386"/>
      <c r="E167" s="386"/>
      <c r="F167" s="336"/>
      <c r="G167" s="381"/>
      <c r="H167" s="358"/>
      <c r="M167" s="337"/>
    </row>
    <row r="168" spans="4:13" s="338" customFormat="1">
      <c r="D168" s="386"/>
      <c r="E168" s="386"/>
      <c r="F168" s="336"/>
      <c r="G168" s="381"/>
      <c r="H168" s="358"/>
      <c r="M168" s="337"/>
    </row>
    <row r="169" spans="4:13" s="338" customFormat="1">
      <c r="D169" s="386"/>
      <c r="E169" s="386"/>
      <c r="F169" s="336"/>
      <c r="G169" s="381"/>
      <c r="H169" s="358"/>
      <c r="M169" s="337"/>
    </row>
    <row r="170" spans="4:13" s="338" customFormat="1">
      <c r="D170" s="386"/>
      <c r="E170" s="386"/>
      <c r="F170" s="336"/>
      <c r="G170" s="381"/>
      <c r="H170" s="358"/>
      <c r="M170" s="337"/>
    </row>
    <row r="171" spans="4:13" s="338" customFormat="1">
      <c r="D171" s="386"/>
      <c r="E171" s="386"/>
      <c r="F171" s="336"/>
      <c r="G171" s="381"/>
      <c r="H171" s="358"/>
      <c r="M171" s="337"/>
    </row>
    <row r="172" spans="4:13" s="338" customFormat="1">
      <c r="D172" s="386"/>
      <c r="E172" s="386"/>
      <c r="F172" s="336"/>
      <c r="G172" s="381"/>
      <c r="H172" s="358"/>
      <c r="M172" s="337"/>
    </row>
    <row r="173" spans="4:13" s="338" customFormat="1">
      <c r="D173" s="386"/>
      <c r="E173" s="386"/>
      <c r="F173" s="336"/>
      <c r="G173" s="381"/>
      <c r="H173" s="358"/>
      <c r="M173" s="337"/>
    </row>
    <row r="174" spans="4:13" s="338" customFormat="1">
      <c r="D174" s="386"/>
      <c r="E174" s="386"/>
      <c r="F174" s="336"/>
      <c r="G174" s="381"/>
      <c r="H174" s="358"/>
      <c r="M174" s="337"/>
    </row>
    <row r="175" spans="4:13" s="338" customFormat="1">
      <c r="D175" s="386"/>
      <c r="E175" s="386"/>
      <c r="F175" s="336"/>
      <c r="G175" s="381"/>
      <c r="H175" s="358"/>
      <c r="M175" s="337"/>
    </row>
    <row r="176" spans="4:13" s="338" customFormat="1">
      <c r="D176" s="386"/>
      <c r="E176" s="386"/>
      <c r="F176" s="336"/>
      <c r="G176" s="381"/>
      <c r="H176" s="358"/>
      <c r="M176" s="337"/>
    </row>
    <row r="177" spans="4:13" s="338" customFormat="1">
      <c r="D177" s="386"/>
      <c r="E177" s="386"/>
      <c r="F177" s="336"/>
      <c r="G177" s="381"/>
      <c r="H177" s="358"/>
      <c r="M177" s="337"/>
    </row>
    <row r="178" spans="4:13" s="338" customFormat="1">
      <c r="D178" s="386"/>
      <c r="E178" s="386"/>
      <c r="F178" s="336"/>
      <c r="G178" s="381"/>
      <c r="H178" s="358"/>
      <c r="M178" s="337"/>
    </row>
    <row r="179" spans="4:13" s="338" customFormat="1">
      <c r="D179" s="386"/>
      <c r="E179" s="386"/>
      <c r="F179" s="336"/>
      <c r="G179" s="381"/>
      <c r="H179" s="358"/>
      <c r="M179" s="337"/>
    </row>
    <row r="180" spans="4:13" s="338" customFormat="1">
      <c r="D180" s="386"/>
      <c r="E180" s="386"/>
      <c r="F180" s="336"/>
      <c r="G180" s="381"/>
      <c r="H180" s="358"/>
      <c r="M180" s="337"/>
    </row>
    <row r="181" spans="4:13" s="338" customFormat="1">
      <c r="D181" s="386"/>
      <c r="E181" s="386"/>
      <c r="F181" s="336"/>
      <c r="G181" s="381"/>
      <c r="H181" s="358"/>
      <c r="M181" s="337"/>
    </row>
    <row r="182" spans="4:13" s="338" customFormat="1">
      <c r="D182" s="386"/>
      <c r="E182" s="386"/>
      <c r="F182" s="336"/>
      <c r="G182" s="381"/>
      <c r="H182" s="358"/>
      <c r="M182" s="337"/>
    </row>
    <row r="183" spans="4:13" s="338" customFormat="1">
      <c r="D183" s="386"/>
      <c r="E183" s="386"/>
      <c r="F183" s="336"/>
      <c r="G183" s="381"/>
      <c r="H183" s="358"/>
      <c r="M183" s="337"/>
    </row>
    <row r="184" spans="4:13" s="338" customFormat="1">
      <c r="D184" s="386"/>
      <c r="E184" s="386"/>
      <c r="F184" s="336"/>
      <c r="G184" s="381"/>
      <c r="H184" s="358"/>
      <c r="M184" s="337"/>
    </row>
    <row r="185" spans="4:13" s="338" customFormat="1">
      <c r="D185" s="386"/>
      <c r="E185" s="386"/>
      <c r="F185" s="336"/>
      <c r="G185" s="381"/>
      <c r="H185" s="358"/>
      <c r="M185" s="337"/>
    </row>
    <row r="186" spans="4:13" s="338" customFormat="1">
      <c r="D186" s="386"/>
      <c r="E186" s="386"/>
      <c r="F186" s="336"/>
      <c r="G186" s="381"/>
      <c r="H186" s="358"/>
      <c r="M186" s="337"/>
    </row>
    <row r="187" spans="4:13" s="338" customFormat="1">
      <c r="D187" s="386"/>
      <c r="E187" s="386"/>
      <c r="F187" s="336"/>
      <c r="G187" s="381"/>
      <c r="H187" s="358"/>
      <c r="M187" s="337"/>
    </row>
    <row r="188" spans="4:13" s="338" customFormat="1">
      <c r="D188" s="386"/>
      <c r="E188" s="386"/>
      <c r="F188" s="336"/>
      <c r="G188" s="381"/>
      <c r="H188" s="358"/>
      <c r="M188" s="337"/>
    </row>
    <row r="189" spans="4:13" s="338" customFormat="1">
      <c r="D189" s="386"/>
      <c r="E189" s="386"/>
      <c r="F189" s="336"/>
      <c r="G189" s="381"/>
      <c r="H189" s="358"/>
      <c r="M189" s="337"/>
    </row>
    <row r="190" spans="4:13" s="338" customFormat="1">
      <c r="D190" s="386"/>
      <c r="E190" s="386"/>
      <c r="F190" s="336"/>
      <c r="G190" s="381"/>
      <c r="H190" s="358"/>
      <c r="M190" s="337"/>
    </row>
    <row r="191" spans="4:13" s="338" customFormat="1">
      <c r="D191" s="386"/>
      <c r="E191" s="386"/>
      <c r="F191" s="336"/>
      <c r="G191" s="381"/>
      <c r="H191" s="358"/>
      <c r="M191" s="337"/>
    </row>
    <row r="192" spans="4:13" s="338" customFormat="1">
      <c r="D192" s="386"/>
      <c r="E192" s="386"/>
      <c r="F192" s="336"/>
      <c r="G192" s="381"/>
      <c r="H192" s="358"/>
      <c r="M192" s="337"/>
    </row>
    <row r="193" spans="4:13" s="338" customFormat="1">
      <c r="D193" s="386"/>
      <c r="E193" s="386"/>
      <c r="F193" s="336"/>
      <c r="G193" s="381"/>
      <c r="H193" s="358"/>
      <c r="M193" s="337"/>
    </row>
    <row r="194" spans="4:13" s="338" customFormat="1">
      <c r="D194" s="386"/>
      <c r="E194" s="386"/>
      <c r="F194" s="336"/>
      <c r="G194" s="381"/>
      <c r="H194" s="358"/>
      <c r="M194" s="337"/>
    </row>
    <row r="195" spans="4:13" s="338" customFormat="1">
      <c r="D195" s="386"/>
      <c r="E195" s="386"/>
      <c r="F195" s="336"/>
      <c r="G195" s="381"/>
      <c r="H195" s="358"/>
      <c r="M195" s="337"/>
    </row>
    <row r="196" spans="4:13" s="338" customFormat="1">
      <c r="D196" s="386"/>
      <c r="E196" s="386"/>
      <c r="F196" s="336"/>
      <c r="G196" s="381"/>
      <c r="H196" s="358"/>
      <c r="M196" s="337"/>
    </row>
    <row r="197" spans="4:13" s="338" customFormat="1">
      <c r="D197" s="386"/>
      <c r="E197" s="386"/>
      <c r="F197" s="336"/>
      <c r="G197" s="381"/>
      <c r="H197" s="358"/>
      <c r="M197" s="337"/>
    </row>
    <row r="198" spans="4:13" s="338" customFormat="1">
      <c r="D198" s="386"/>
      <c r="E198" s="386"/>
      <c r="F198" s="336"/>
      <c r="G198" s="381"/>
      <c r="H198" s="358"/>
      <c r="M198" s="337"/>
    </row>
    <row r="199" spans="4:13" s="338" customFormat="1">
      <c r="D199" s="386"/>
      <c r="E199" s="386"/>
      <c r="F199" s="336"/>
      <c r="G199" s="381"/>
      <c r="H199" s="358"/>
      <c r="M199" s="337"/>
    </row>
    <row r="200" spans="4:13" s="338" customFormat="1">
      <c r="D200" s="386"/>
      <c r="E200" s="386"/>
      <c r="F200" s="336"/>
      <c r="G200" s="381"/>
      <c r="H200" s="358"/>
      <c r="M200" s="337"/>
    </row>
    <row r="201" spans="4:13" s="338" customFormat="1">
      <c r="D201" s="386"/>
      <c r="E201" s="386"/>
      <c r="F201" s="336"/>
      <c r="G201" s="381"/>
      <c r="H201" s="358"/>
      <c r="M201" s="337"/>
    </row>
    <row r="202" spans="4:13" s="338" customFormat="1">
      <c r="D202" s="386"/>
      <c r="E202" s="386"/>
      <c r="F202" s="336"/>
      <c r="G202" s="381"/>
      <c r="H202" s="358"/>
      <c r="M202" s="337"/>
    </row>
    <row r="203" spans="4:13" s="338" customFormat="1">
      <c r="D203" s="386"/>
      <c r="E203" s="386"/>
      <c r="F203" s="336"/>
      <c r="G203" s="381"/>
      <c r="H203" s="358"/>
      <c r="M203" s="337"/>
    </row>
    <row r="204" spans="4:13" s="338" customFormat="1">
      <c r="D204" s="386"/>
      <c r="E204" s="386"/>
      <c r="F204" s="336"/>
      <c r="G204" s="381"/>
      <c r="H204" s="358"/>
      <c r="M204" s="337"/>
    </row>
    <row r="205" spans="4:13" s="338" customFormat="1">
      <c r="D205" s="386"/>
      <c r="E205" s="386"/>
      <c r="F205" s="336"/>
      <c r="G205" s="381"/>
      <c r="H205" s="358"/>
      <c r="M205" s="337"/>
    </row>
    <row r="206" spans="4:13" s="338" customFormat="1">
      <c r="D206" s="386"/>
      <c r="E206" s="386"/>
      <c r="F206" s="336"/>
      <c r="G206" s="381"/>
      <c r="H206" s="358"/>
      <c r="M206" s="337"/>
    </row>
    <row r="207" spans="4:13" s="338" customFormat="1">
      <c r="D207" s="386"/>
      <c r="E207" s="386"/>
      <c r="F207" s="336"/>
      <c r="G207" s="381"/>
      <c r="H207" s="358"/>
      <c r="M207" s="337"/>
    </row>
    <row r="208" spans="4:13" s="338" customFormat="1">
      <c r="D208" s="386"/>
      <c r="E208" s="386"/>
      <c r="F208" s="336"/>
      <c r="G208" s="381"/>
      <c r="H208" s="358"/>
      <c r="M208" s="337"/>
    </row>
    <row r="209" spans="4:13" s="338" customFormat="1">
      <c r="D209" s="386"/>
      <c r="E209" s="386"/>
      <c r="F209" s="336"/>
      <c r="G209" s="381"/>
      <c r="H209" s="358"/>
      <c r="M209" s="337"/>
    </row>
    <row r="210" spans="4:13" s="338" customFormat="1">
      <c r="D210" s="386"/>
      <c r="E210" s="386"/>
      <c r="F210" s="336"/>
      <c r="G210" s="381"/>
      <c r="H210" s="358"/>
      <c r="M210" s="337"/>
    </row>
    <row r="211" spans="4:13" s="338" customFormat="1">
      <c r="D211" s="386"/>
      <c r="E211" s="386"/>
      <c r="F211" s="336"/>
      <c r="G211" s="381"/>
      <c r="H211" s="358"/>
      <c r="M211" s="337"/>
    </row>
    <row r="212" spans="4:13" s="338" customFormat="1">
      <c r="D212" s="386"/>
      <c r="E212" s="386"/>
      <c r="F212" s="336"/>
      <c r="G212" s="381"/>
      <c r="H212" s="358"/>
      <c r="M212" s="337"/>
    </row>
    <row r="213" spans="4:13" s="338" customFormat="1">
      <c r="D213" s="386"/>
      <c r="E213" s="386"/>
      <c r="F213" s="336"/>
      <c r="G213" s="381"/>
      <c r="H213" s="358"/>
      <c r="M213" s="337"/>
    </row>
    <row r="214" spans="4:13" s="338" customFormat="1">
      <c r="D214" s="386"/>
      <c r="E214" s="386"/>
      <c r="F214" s="336"/>
      <c r="G214" s="381"/>
      <c r="H214" s="358"/>
      <c r="M214" s="337"/>
    </row>
    <row r="215" spans="4:13" s="338" customFormat="1">
      <c r="D215" s="386"/>
      <c r="E215" s="386"/>
      <c r="F215" s="336"/>
      <c r="G215" s="381"/>
      <c r="H215" s="358"/>
      <c r="M215" s="337"/>
    </row>
    <row r="216" spans="4:13" s="338" customFormat="1">
      <c r="D216" s="386"/>
      <c r="E216" s="386"/>
      <c r="F216" s="336"/>
      <c r="G216" s="381"/>
      <c r="H216" s="358"/>
      <c r="M216" s="337"/>
    </row>
    <row r="217" spans="4:13" s="338" customFormat="1">
      <c r="D217" s="386"/>
      <c r="E217" s="386"/>
      <c r="F217" s="336"/>
      <c r="G217" s="381"/>
      <c r="H217" s="358"/>
      <c r="M217" s="337"/>
    </row>
    <row r="218" spans="4:13" s="338" customFormat="1">
      <c r="D218" s="386"/>
      <c r="E218" s="386"/>
      <c r="F218" s="336"/>
      <c r="G218" s="381"/>
      <c r="H218" s="358"/>
      <c r="M218" s="337"/>
    </row>
    <row r="219" spans="4:13" s="338" customFormat="1">
      <c r="D219" s="386"/>
      <c r="E219" s="386"/>
      <c r="F219" s="336"/>
      <c r="G219" s="381"/>
      <c r="H219" s="358"/>
      <c r="M219" s="337"/>
    </row>
    <row r="220" spans="4:13" s="338" customFormat="1">
      <c r="D220" s="386"/>
      <c r="E220" s="386"/>
      <c r="F220" s="336"/>
      <c r="G220" s="381"/>
      <c r="H220" s="358"/>
      <c r="M220" s="337"/>
    </row>
    <row r="221" spans="4:13" s="338" customFormat="1">
      <c r="D221" s="386"/>
      <c r="E221" s="386"/>
      <c r="F221" s="336"/>
      <c r="G221" s="381"/>
      <c r="H221" s="358"/>
      <c r="M221" s="337"/>
    </row>
    <row r="222" spans="4:13" s="338" customFormat="1">
      <c r="D222" s="386"/>
      <c r="E222" s="386"/>
      <c r="F222" s="336"/>
      <c r="G222" s="381"/>
      <c r="H222" s="358"/>
      <c r="M222" s="337"/>
    </row>
    <row r="223" spans="4:13" s="338" customFormat="1">
      <c r="D223" s="386"/>
      <c r="E223" s="386"/>
      <c r="F223" s="336"/>
      <c r="G223" s="381"/>
      <c r="H223" s="358"/>
      <c r="M223" s="337"/>
    </row>
    <row r="224" spans="4:13" s="338" customFormat="1">
      <c r="D224" s="386"/>
      <c r="E224" s="386"/>
      <c r="F224" s="336"/>
      <c r="G224" s="381"/>
      <c r="H224" s="358"/>
      <c r="M224" s="337"/>
    </row>
    <row r="225" spans="4:13" s="338" customFormat="1">
      <c r="D225" s="386"/>
      <c r="E225" s="386"/>
      <c r="F225" s="336"/>
      <c r="G225" s="381"/>
      <c r="H225" s="358"/>
      <c r="M225" s="337"/>
    </row>
    <row r="226" spans="4:13" s="338" customFormat="1">
      <c r="D226" s="386"/>
      <c r="E226" s="386"/>
      <c r="F226" s="336"/>
      <c r="G226" s="381"/>
      <c r="H226" s="358"/>
      <c r="M226" s="337"/>
    </row>
    <row r="227" spans="4:13" s="338" customFormat="1">
      <c r="D227" s="386"/>
      <c r="E227" s="386"/>
      <c r="F227" s="336"/>
      <c r="G227" s="381"/>
      <c r="H227" s="358"/>
      <c r="M227" s="337"/>
    </row>
    <row r="228" spans="4:13" s="338" customFormat="1">
      <c r="D228" s="386"/>
      <c r="E228" s="386"/>
      <c r="F228" s="336"/>
      <c r="G228" s="381"/>
      <c r="H228" s="358"/>
      <c r="M228" s="337"/>
    </row>
    <row r="229" spans="4:13" s="338" customFormat="1">
      <c r="D229" s="386"/>
      <c r="E229" s="386"/>
      <c r="F229" s="336"/>
      <c r="G229" s="381"/>
      <c r="H229" s="358"/>
      <c r="M229" s="337"/>
    </row>
    <row r="230" spans="4:13" s="338" customFormat="1">
      <c r="D230" s="386"/>
      <c r="E230" s="386"/>
      <c r="F230" s="336"/>
      <c r="G230" s="381"/>
      <c r="H230" s="358"/>
      <c r="M230" s="337"/>
    </row>
    <row r="231" spans="4:13" s="338" customFormat="1">
      <c r="D231" s="386"/>
      <c r="E231" s="386"/>
      <c r="F231" s="336"/>
      <c r="G231" s="381"/>
      <c r="H231" s="358"/>
      <c r="M231" s="337"/>
    </row>
    <row r="232" spans="4:13" s="338" customFormat="1">
      <c r="D232" s="386"/>
      <c r="E232" s="386"/>
      <c r="F232" s="336"/>
      <c r="G232" s="381"/>
      <c r="H232" s="358"/>
      <c r="M232" s="337"/>
    </row>
    <row r="233" spans="4:13" s="338" customFormat="1">
      <c r="D233" s="386"/>
      <c r="E233" s="386"/>
      <c r="F233" s="336"/>
      <c r="G233" s="381"/>
      <c r="H233" s="358"/>
      <c r="M233" s="337"/>
    </row>
    <row r="234" spans="4:13" s="338" customFormat="1">
      <c r="D234" s="386"/>
      <c r="E234" s="386"/>
      <c r="F234" s="336"/>
      <c r="G234" s="381"/>
      <c r="H234" s="358"/>
      <c r="M234" s="337"/>
    </row>
    <row r="235" spans="4:13" s="338" customFormat="1">
      <c r="D235" s="386"/>
      <c r="E235" s="386"/>
      <c r="F235" s="336"/>
      <c r="G235" s="381"/>
      <c r="H235" s="358"/>
      <c r="M235" s="337"/>
    </row>
    <row r="236" spans="4:13" s="338" customFormat="1">
      <c r="D236" s="386"/>
      <c r="E236" s="386"/>
      <c r="F236" s="336"/>
      <c r="G236" s="381"/>
      <c r="H236" s="358"/>
      <c r="M236" s="337"/>
    </row>
    <row r="237" spans="4:13" s="338" customFormat="1">
      <c r="D237" s="386"/>
      <c r="E237" s="386"/>
      <c r="F237" s="336"/>
      <c r="G237" s="381"/>
      <c r="H237" s="358"/>
      <c r="M237" s="337"/>
    </row>
    <row r="238" spans="4:13" s="338" customFormat="1">
      <c r="D238" s="386"/>
      <c r="E238" s="386"/>
      <c r="F238" s="336"/>
      <c r="G238" s="381"/>
      <c r="H238" s="358"/>
      <c r="M238" s="337"/>
    </row>
    <row r="239" spans="4:13" s="338" customFormat="1">
      <c r="D239" s="386"/>
      <c r="E239" s="386"/>
      <c r="F239" s="336"/>
      <c r="G239" s="381"/>
      <c r="H239" s="358"/>
      <c r="M239" s="337"/>
    </row>
    <row r="240" spans="4:13" s="338" customFormat="1">
      <c r="D240" s="386"/>
      <c r="E240" s="386"/>
      <c r="F240" s="336"/>
      <c r="G240" s="381"/>
      <c r="H240" s="358"/>
      <c r="M240" s="337"/>
    </row>
    <row r="241" spans="4:13" s="338" customFormat="1">
      <c r="D241" s="386"/>
      <c r="E241" s="386"/>
      <c r="F241" s="336"/>
      <c r="G241" s="381"/>
      <c r="H241" s="358"/>
      <c r="M241" s="337"/>
    </row>
    <row r="242" spans="4:13" s="338" customFormat="1">
      <c r="D242" s="386"/>
      <c r="E242" s="386"/>
      <c r="F242" s="336"/>
      <c r="G242" s="381"/>
      <c r="H242" s="358"/>
      <c r="M242" s="337"/>
    </row>
    <row r="243" spans="4:13" s="338" customFormat="1">
      <c r="D243" s="386"/>
      <c r="E243" s="386"/>
      <c r="F243" s="336"/>
      <c r="G243" s="381"/>
      <c r="H243" s="358"/>
      <c r="M243" s="337"/>
    </row>
    <row r="244" spans="4:13" s="338" customFormat="1">
      <c r="D244" s="386"/>
      <c r="E244" s="386"/>
      <c r="F244" s="336"/>
      <c r="G244" s="381"/>
      <c r="H244" s="358"/>
      <c r="M244" s="337"/>
    </row>
    <row r="245" spans="4:13" s="338" customFormat="1">
      <c r="D245" s="386"/>
      <c r="E245" s="386"/>
      <c r="F245" s="336"/>
      <c r="G245" s="381"/>
      <c r="H245" s="358"/>
      <c r="M245" s="337"/>
    </row>
    <row r="246" spans="4:13" s="338" customFormat="1">
      <c r="D246" s="386"/>
      <c r="E246" s="386"/>
      <c r="F246" s="336"/>
      <c r="G246" s="381"/>
      <c r="H246" s="358"/>
      <c r="M246" s="337"/>
    </row>
    <row r="247" spans="4:13" s="338" customFormat="1">
      <c r="D247" s="386"/>
      <c r="E247" s="386"/>
      <c r="F247" s="336"/>
      <c r="G247" s="381"/>
      <c r="H247" s="358"/>
      <c r="M247" s="337"/>
    </row>
    <row r="248" spans="4:13" s="338" customFormat="1">
      <c r="D248" s="386"/>
      <c r="E248" s="386"/>
      <c r="F248" s="336"/>
      <c r="G248" s="381"/>
      <c r="H248" s="358"/>
      <c r="M248" s="337"/>
    </row>
    <row r="249" spans="4:13" s="338" customFormat="1">
      <c r="D249" s="386"/>
      <c r="E249" s="386"/>
      <c r="F249" s="336"/>
      <c r="G249" s="381"/>
      <c r="H249" s="358"/>
      <c r="M249" s="337"/>
    </row>
    <row r="250" spans="4:13" s="338" customFormat="1">
      <c r="D250" s="386"/>
      <c r="E250" s="386"/>
      <c r="F250" s="336"/>
      <c r="G250" s="381"/>
      <c r="H250" s="358"/>
      <c r="M250" s="337"/>
    </row>
    <row r="251" spans="4:13" s="338" customFormat="1">
      <c r="D251" s="386"/>
      <c r="E251" s="386"/>
      <c r="F251" s="336"/>
      <c r="G251" s="381"/>
      <c r="H251" s="358"/>
      <c r="M251" s="337"/>
    </row>
    <row r="252" spans="4:13" s="338" customFormat="1">
      <c r="D252" s="386"/>
      <c r="E252" s="386"/>
      <c r="F252" s="336"/>
      <c r="G252" s="381"/>
      <c r="H252" s="358"/>
      <c r="M252" s="337"/>
    </row>
    <row r="253" spans="4:13" s="338" customFormat="1">
      <c r="D253" s="386"/>
      <c r="E253" s="386"/>
      <c r="F253" s="336"/>
      <c r="G253" s="381"/>
      <c r="H253" s="358"/>
      <c r="M253" s="337"/>
    </row>
    <row r="254" spans="4:13" s="338" customFormat="1">
      <c r="D254" s="386"/>
      <c r="E254" s="386"/>
      <c r="F254" s="336"/>
      <c r="G254" s="381"/>
      <c r="H254" s="358"/>
      <c r="M254" s="337"/>
    </row>
    <row r="255" spans="4:13" s="338" customFormat="1">
      <c r="D255" s="386"/>
      <c r="E255" s="386"/>
      <c r="F255" s="336"/>
      <c r="G255" s="381"/>
      <c r="H255" s="358"/>
      <c r="M255" s="337"/>
    </row>
    <row r="256" spans="4:13" s="338" customFormat="1">
      <c r="D256" s="386"/>
      <c r="E256" s="386"/>
      <c r="F256" s="336"/>
      <c r="G256" s="381"/>
      <c r="H256" s="358"/>
      <c r="M256" s="337"/>
    </row>
    <row r="257" spans="4:13" s="338" customFormat="1">
      <c r="D257" s="386"/>
      <c r="E257" s="386"/>
      <c r="F257" s="336"/>
      <c r="G257" s="381"/>
      <c r="H257" s="358"/>
      <c r="M257" s="337"/>
    </row>
    <row r="258" spans="4:13" s="338" customFormat="1">
      <c r="D258" s="386"/>
      <c r="E258" s="386"/>
      <c r="F258" s="336"/>
      <c r="G258" s="381"/>
      <c r="H258" s="358"/>
      <c r="M258" s="337"/>
    </row>
    <row r="259" spans="4:13" s="338" customFormat="1">
      <c r="D259" s="386"/>
      <c r="E259" s="386"/>
      <c r="F259" s="336"/>
      <c r="G259" s="381"/>
      <c r="H259" s="358"/>
      <c r="M259" s="337"/>
    </row>
    <row r="260" spans="4:13" s="338" customFormat="1">
      <c r="D260" s="386"/>
      <c r="E260" s="386"/>
      <c r="F260" s="336"/>
      <c r="G260" s="381"/>
      <c r="H260" s="358"/>
      <c r="M260" s="337"/>
    </row>
    <row r="261" spans="4:13" s="338" customFormat="1">
      <c r="D261" s="386"/>
      <c r="E261" s="386"/>
      <c r="F261" s="336"/>
      <c r="G261" s="381"/>
      <c r="H261" s="358"/>
      <c r="M261" s="337"/>
    </row>
    <row r="262" spans="4:13" s="338" customFormat="1">
      <c r="D262" s="386"/>
      <c r="E262" s="386"/>
      <c r="F262" s="336"/>
      <c r="G262" s="381"/>
      <c r="H262" s="358"/>
      <c r="M262" s="337"/>
    </row>
    <row r="263" spans="4:13" s="338" customFormat="1">
      <c r="D263" s="386"/>
      <c r="E263" s="386"/>
      <c r="F263" s="336"/>
      <c r="G263" s="381"/>
      <c r="H263" s="358"/>
      <c r="M263" s="337"/>
    </row>
    <row r="264" spans="4:13" s="338" customFormat="1">
      <c r="D264" s="386"/>
      <c r="E264" s="386"/>
      <c r="F264" s="336"/>
      <c r="G264" s="381"/>
      <c r="H264" s="358"/>
      <c r="M264" s="337"/>
    </row>
    <row r="265" spans="4:13" s="338" customFormat="1">
      <c r="D265" s="386"/>
      <c r="E265" s="386"/>
      <c r="F265" s="336"/>
      <c r="G265" s="381"/>
      <c r="H265" s="358"/>
      <c r="M265" s="337"/>
    </row>
    <row r="266" spans="4:13" s="338" customFormat="1">
      <c r="D266" s="386"/>
      <c r="E266" s="386"/>
      <c r="F266" s="336"/>
      <c r="G266" s="381"/>
      <c r="H266" s="358"/>
      <c r="M266" s="337"/>
    </row>
    <row r="267" spans="4:13" s="338" customFormat="1">
      <c r="D267" s="386"/>
      <c r="E267" s="386"/>
      <c r="F267" s="336"/>
      <c r="G267" s="381"/>
      <c r="H267" s="358"/>
      <c r="M267" s="337"/>
    </row>
    <row r="268" spans="4:13" s="338" customFormat="1">
      <c r="D268" s="386"/>
      <c r="E268" s="386"/>
      <c r="F268" s="336"/>
      <c r="G268" s="381"/>
      <c r="H268" s="358"/>
      <c r="M268" s="337"/>
    </row>
    <row r="269" spans="4:13" s="338" customFormat="1">
      <c r="D269" s="386"/>
      <c r="E269" s="386"/>
      <c r="F269" s="336"/>
      <c r="G269" s="381"/>
      <c r="H269" s="358"/>
      <c r="M269" s="337"/>
    </row>
    <row r="270" spans="4:13" s="338" customFormat="1">
      <c r="D270" s="386"/>
      <c r="E270" s="386"/>
      <c r="F270" s="336"/>
      <c r="G270" s="381"/>
      <c r="H270" s="358"/>
      <c r="M270" s="337"/>
    </row>
    <row r="271" spans="4:13" s="338" customFormat="1">
      <c r="D271" s="386"/>
      <c r="E271" s="386"/>
      <c r="F271" s="336"/>
      <c r="G271" s="381"/>
      <c r="H271" s="358"/>
      <c r="M271" s="337"/>
    </row>
    <row r="272" spans="4:13" s="338" customFormat="1">
      <c r="D272" s="386"/>
      <c r="E272" s="386"/>
      <c r="F272" s="336"/>
      <c r="G272" s="381"/>
      <c r="H272" s="358"/>
      <c r="M272" s="337"/>
    </row>
    <row r="273" spans="4:13" s="338" customFormat="1">
      <c r="D273" s="386"/>
      <c r="E273" s="386"/>
      <c r="F273" s="336"/>
      <c r="G273" s="381"/>
      <c r="H273" s="358"/>
      <c r="M273" s="337"/>
    </row>
    <row r="274" spans="4:13" s="338" customFormat="1">
      <c r="D274" s="386"/>
      <c r="E274" s="386"/>
      <c r="F274" s="336"/>
      <c r="G274" s="381"/>
      <c r="H274" s="358"/>
      <c r="M274" s="337"/>
    </row>
    <row r="275" spans="4:13" s="338" customFormat="1">
      <c r="D275" s="386"/>
      <c r="E275" s="386"/>
      <c r="F275" s="336"/>
      <c r="G275" s="381"/>
      <c r="H275" s="358"/>
      <c r="M275" s="337"/>
    </row>
    <row r="276" spans="4:13" s="338" customFormat="1">
      <c r="D276" s="386"/>
      <c r="E276" s="386"/>
      <c r="F276" s="336"/>
      <c r="G276" s="381"/>
      <c r="H276" s="358"/>
      <c r="M276" s="337"/>
    </row>
    <row r="277" spans="4:13" s="338" customFormat="1">
      <c r="D277" s="386"/>
      <c r="E277" s="386"/>
      <c r="F277" s="336"/>
      <c r="G277" s="381"/>
      <c r="H277" s="358"/>
      <c r="M277" s="337"/>
    </row>
    <row r="278" spans="4:13" s="338" customFormat="1">
      <c r="D278" s="386"/>
      <c r="E278" s="386"/>
      <c r="F278" s="336"/>
      <c r="G278" s="381"/>
      <c r="H278" s="358"/>
      <c r="M278" s="337"/>
    </row>
    <row r="279" spans="4:13" s="338" customFormat="1">
      <c r="D279" s="386"/>
      <c r="E279" s="386"/>
      <c r="F279" s="336"/>
      <c r="G279" s="381"/>
      <c r="H279" s="358"/>
      <c r="M279" s="337"/>
    </row>
    <row r="280" spans="4:13" s="338" customFormat="1">
      <c r="D280" s="386"/>
      <c r="E280" s="386"/>
      <c r="F280" s="336"/>
      <c r="G280" s="381"/>
      <c r="H280" s="358"/>
      <c r="M280" s="337"/>
    </row>
    <row r="281" spans="4:13" s="338" customFormat="1">
      <c r="D281" s="386"/>
      <c r="E281" s="386"/>
      <c r="F281" s="336"/>
      <c r="G281" s="381"/>
      <c r="H281" s="358"/>
      <c r="M281" s="337"/>
    </row>
    <row r="282" spans="4:13" s="338" customFormat="1">
      <c r="D282" s="386"/>
      <c r="E282" s="386"/>
      <c r="F282" s="336"/>
      <c r="G282" s="381"/>
      <c r="H282" s="358"/>
      <c r="M282" s="337"/>
    </row>
    <row r="283" spans="4:13" s="338" customFormat="1">
      <c r="D283" s="386"/>
      <c r="E283" s="386"/>
      <c r="F283" s="336"/>
      <c r="G283" s="381"/>
      <c r="H283" s="358"/>
      <c r="M283" s="337"/>
    </row>
    <row r="284" spans="4:13" s="338" customFormat="1">
      <c r="D284" s="386"/>
      <c r="E284" s="386"/>
      <c r="F284" s="336"/>
      <c r="G284" s="381"/>
      <c r="H284" s="358"/>
      <c r="M284" s="337"/>
    </row>
    <row r="285" spans="4:13" s="338" customFormat="1">
      <c r="D285" s="386"/>
      <c r="E285" s="386"/>
      <c r="F285" s="336"/>
      <c r="G285" s="381"/>
      <c r="H285" s="358"/>
      <c r="M285" s="337"/>
    </row>
    <row r="286" spans="4:13" s="338" customFormat="1">
      <c r="D286" s="386"/>
      <c r="E286" s="386"/>
      <c r="F286" s="336"/>
      <c r="G286" s="381"/>
      <c r="H286" s="358"/>
      <c r="M286" s="337"/>
    </row>
    <row r="287" spans="4:13" s="338" customFormat="1">
      <c r="D287" s="386"/>
      <c r="E287" s="386"/>
      <c r="F287" s="336"/>
      <c r="G287" s="381"/>
      <c r="H287" s="358"/>
      <c r="M287" s="337"/>
    </row>
    <row r="288" spans="4:13" s="338" customFormat="1">
      <c r="D288" s="386"/>
      <c r="E288" s="386"/>
      <c r="F288" s="336"/>
      <c r="G288" s="381"/>
      <c r="H288" s="358"/>
      <c r="M288" s="337"/>
    </row>
    <row r="289" spans="4:13" s="338" customFormat="1">
      <c r="D289" s="386"/>
      <c r="E289" s="386"/>
      <c r="F289" s="336"/>
      <c r="G289" s="381"/>
      <c r="H289" s="358"/>
      <c r="M289" s="337"/>
    </row>
    <row r="290" spans="4:13" s="338" customFormat="1">
      <c r="D290" s="386"/>
      <c r="E290" s="386"/>
      <c r="F290" s="336"/>
      <c r="G290" s="381"/>
      <c r="H290" s="358"/>
      <c r="M290" s="337"/>
    </row>
    <row r="291" spans="4:13" s="338" customFormat="1">
      <c r="D291" s="386"/>
      <c r="E291" s="386"/>
      <c r="F291" s="336"/>
      <c r="G291" s="381"/>
      <c r="H291" s="358"/>
      <c r="M291" s="337"/>
    </row>
    <row r="292" spans="4:13" s="338" customFormat="1">
      <c r="D292" s="386"/>
      <c r="E292" s="386"/>
      <c r="F292" s="336"/>
      <c r="G292" s="381"/>
      <c r="H292" s="358"/>
      <c r="M292" s="337"/>
    </row>
    <row r="293" spans="4:13" s="338" customFormat="1">
      <c r="D293" s="386"/>
      <c r="E293" s="386"/>
      <c r="F293" s="336"/>
      <c r="G293" s="381"/>
      <c r="H293" s="358"/>
      <c r="M293" s="337"/>
    </row>
    <row r="294" spans="4:13" s="338" customFormat="1">
      <c r="D294" s="386"/>
      <c r="E294" s="386"/>
      <c r="F294" s="336"/>
      <c r="G294" s="381"/>
      <c r="H294" s="358"/>
      <c r="M294" s="337"/>
    </row>
    <row r="295" spans="4:13" s="338" customFormat="1">
      <c r="D295" s="386"/>
      <c r="E295" s="386"/>
      <c r="F295" s="336"/>
      <c r="G295" s="381"/>
      <c r="H295" s="358"/>
      <c r="M295" s="337"/>
    </row>
    <row r="296" spans="4:13" s="338" customFormat="1">
      <c r="D296" s="386"/>
      <c r="E296" s="386"/>
      <c r="F296" s="336"/>
      <c r="G296" s="381"/>
      <c r="H296" s="358"/>
      <c r="M296" s="337"/>
    </row>
    <row r="297" spans="4:13" s="338" customFormat="1">
      <c r="D297" s="386"/>
      <c r="E297" s="386"/>
      <c r="F297" s="336"/>
      <c r="G297" s="381"/>
      <c r="H297" s="358"/>
      <c r="M297" s="337"/>
    </row>
    <row r="298" spans="4:13" s="338" customFormat="1">
      <c r="D298" s="386"/>
      <c r="E298" s="386"/>
      <c r="F298" s="336"/>
      <c r="G298" s="381"/>
      <c r="H298" s="358"/>
      <c r="M298" s="337"/>
    </row>
    <row r="299" spans="4:13" s="338" customFormat="1">
      <c r="D299" s="386"/>
      <c r="E299" s="386"/>
      <c r="F299" s="336"/>
      <c r="G299" s="381"/>
      <c r="H299" s="358"/>
      <c r="M299" s="337"/>
    </row>
    <row r="300" spans="4:13" s="338" customFormat="1">
      <c r="D300" s="386"/>
      <c r="E300" s="386"/>
      <c r="F300" s="336"/>
      <c r="G300" s="381"/>
      <c r="H300" s="358"/>
      <c r="M300" s="337"/>
    </row>
    <row r="301" spans="4:13" s="338" customFormat="1">
      <c r="D301" s="386"/>
      <c r="E301" s="386"/>
      <c r="F301" s="336"/>
      <c r="G301" s="381"/>
      <c r="H301" s="358"/>
      <c r="M301" s="337"/>
    </row>
    <row r="302" spans="4:13" s="338" customFormat="1">
      <c r="D302" s="386"/>
      <c r="E302" s="386"/>
      <c r="F302" s="336"/>
      <c r="G302" s="381"/>
      <c r="H302" s="358"/>
      <c r="M302" s="337"/>
    </row>
    <row r="303" spans="4:13" s="338" customFormat="1">
      <c r="D303" s="386"/>
      <c r="E303" s="386"/>
      <c r="F303" s="336"/>
      <c r="G303" s="381"/>
      <c r="H303" s="358"/>
      <c r="M303" s="337"/>
    </row>
    <row r="304" spans="4:13" s="338" customFormat="1">
      <c r="D304" s="386"/>
      <c r="E304" s="386"/>
      <c r="F304" s="336"/>
      <c r="G304" s="381"/>
      <c r="H304" s="358"/>
      <c r="M304" s="337"/>
    </row>
    <row r="305" spans="4:13" s="338" customFormat="1">
      <c r="D305" s="386"/>
      <c r="E305" s="386"/>
      <c r="F305" s="336"/>
      <c r="G305" s="381"/>
      <c r="H305" s="358"/>
      <c r="M305" s="337"/>
    </row>
    <row r="306" spans="4:13" s="338" customFormat="1">
      <c r="D306" s="386"/>
      <c r="E306" s="386"/>
      <c r="F306" s="336"/>
      <c r="G306" s="381"/>
      <c r="H306" s="358"/>
      <c r="M306" s="337"/>
    </row>
    <row r="307" spans="4:13" s="338" customFormat="1">
      <c r="D307" s="386"/>
      <c r="E307" s="386"/>
      <c r="F307" s="336"/>
      <c r="G307" s="381"/>
      <c r="H307" s="358"/>
      <c r="M307" s="337"/>
    </row>
    <row r="308" spans="4:13" s="338" customFormat="1">
      <c r="D308" s="386"/>
      <c r="E308" s="386"/>
      <c r="F308" s="336"/>
      <c r="G308" s="381"/>
      <c r="H308" s="358"/>
      <c r="M308" s="337"/>
    </row>
    <row r="309" spans="4:13" s="338" customFormat="1">
      <c r="D309" s="386"/>
      <c r="E309" s="386"/>
      <c r="F309" s="336"/>
      <c r="G309" s="381"/>
      <c r="H309" s="358"/>
      <c r="M309" s="337"/>
    </row>
    <row r="310" spans="4:13" s="338" customFormat="1">
      <c r="D310" s="386"/>
      <c r="E310" s="386"/>
      <c r="F310" s="336"/>
      <c r="G310" s="381"/>
      <c r="H310" s="358"/>
      <c r="M310" s="337"/>
    </row>
    <row r="311" spans="4:13" s="338" customFormat="1">
      <c r="D311" s="386"/>
      <c r="E311" s="386"/>
      <c r="F311" s="336"/>
      <c r="G311" s="381"/>
      <c r="H311" s="358"/>
      <c r="M311" s="337"/>
    </row>
    <row r="312" spans="4:13" s="338" customFormat="1">
      <c r="D312" s="386"/>
      <c r="E312" s="386"/>
      <c r="F312" s="336"/>
      <c r="G312" s="381"/>
      <c r="H312" s="358"/>
      <c r="M312" s="337"/>
    </row>
    <row r="313" spans="4:13" s="338" customFormat="1">
      <c r="D313" s="386"/>
      <c r="E313" s="386"/>
      <c r="F313" s="336"/>
      <c r="G313" s="381"/>
      <c r="H313" s="358"/>
      <c r="M313" s="337"/>
    </row>
    <row r="314" spans="4:13" s="338" customFormat="1">
      <c r="D314" s="386"/>
      <c r="E314" s="386"/>
      <c r="F314" s="336"/>
      <c r="G314" s="381"/>
      <c r="H314" s="358"/>
      <c r="M314" s="337"/>
    </row>
    <row r="315" spans="4:13" s="338" customFormat="1">
      <c r="D315" s="386"/>
      <c r="E315" s="386"/>
      <c r="F315" s="336"/>
      <c r="G315" s="381"/>
      <c r="H315" s="358"/>
      <c r="M315" s="337"/>
    </row>
    <row r="316" spans="4:13" s="338" customFormat="1">
      <c r="D316" s="386"/>
      <c r="E316" s="386"/>
      <c r="F316" s="336"/>
      <c r="G316" s="381"/>
      <c r="H316" s="358"/>
      <c r="M316" s="337"/>
    </row>
    <row r="317" spans="4:13" s="338" customFormat="1">
      <c r="D317" s="386"/>
      <c r="E317" s="386"/>
      <c r="F317" s="336"/>
      <c r="G317" s="381"/>
      <c r="H317" s="358"/>
      <c r="M317" s="337"/>
    </row>
    <row r="318" spans="4:13" s="338" customFormat="1">
      <c r="D318" s="386"/>
      <c r="E318" s="386"/>
      <c r="F318" s="336"/>
      <c r="G318" s="381"/>
      <c r="H318" s="358"/>
      <c r="M318" s="337"/>
    </row>
    <row r="319" spans="4:13" s="338" customFormat="1">
      <c r="D319" s="386"/>
      <c r="E319" s="386"/>
      <c r="F319" s="336"/>
      <c r="G319" s="381"/>
      <c r="H319" s="358"/>
      <c r="M319" s="337"/>
    </row>
    <row r="320" spans="4:13" s="338" customFormat="1">
      <c r="D320" s="386"/>
      <c r="E320" s="386"/>
      <c r="F320" s="336"/>
      <c r="G320" s="381"/>
      <c r="H320" s="358"/>
      <c r="M320" s="337"/>
    </row>
    <row r="321" spans="4:13" s="338" customFormat="1">
      <c r="D321" s="386"/>
      <c r="E321" s="386"/>
      <c r="F321" s="336"/>
      <c r="G321" s="381"/>
      <c r="H321" s="358"/>
      <c r="M321" s="337"/>
    </row>
    <row r="322" spans="4:13" s="338" customFormat="1">
      <c r="D322" s="386"/>
      <c r="E322" s="386"/>
      <c r="F322" s="336"/>
      <c r="G322" s="381"/>
      <c r="H322" s="358"/>
      <c r="M322" s="337"/>
    </row>
    <row r="323" spans="4:13" s="338" customFormat="1">
      <c r="D323" s="386"/>
      <c r="E323" s="386"/>
      <c r="F323" s="336"/>
      <c r="G323" s="381"/>
      <c r="H323" s="358"/>
      <c r="M323" s="337"/>
    </row>
    <row r="324" spans="4:13" s="338" customFormat="1">
      <c r="D324" s="386"/>
      <c r="E324" s="386"/>
      <c r="F324" s="336"/>
      <c r="G324" s="381"/>
      <c r="H324" s="358"/>
      <c r="M324" s="337"/>
    </row>
    <row r="325" spans="4:13" s="338" customFormat="1">
      <c r="D325" s="386"/>
      <c r="E325" s="386"/>
      <c r="F325" s="336"/>
      <c r="G325" s="381"/>
      <c r="H325" s="358"/>
      <c r="M325" s="337"/>
    </row>
    <row r="326" spans="4:13" s="338" customFormat="1">
      <c r="D326" s="386"/>
      <c r="E326" s="386"/>
      <c r="F326" s="336"/>
      <c r="G326" s="381"/>
      <c r="H326" s="358"/>
      <c r="M326" s="337"/>
    </row>
    <row r="327" spans="4:13" s="338" customFormat="1">
      <c r="D327" s="386"/>
      <c r="E327" s="386"/>
      <c r="F327" s="336"/>
      <c r="G327" s="381"/>
      <c r="H327" s="358"/>
      <c r="M327" s="337"/>
    </row>
    <row r="328" spans="4:13" s="338" customFormat="1">
      <c r="D328" s="386"/>
      <c r="E328" s="386"/>
      <c r="F328" s="336"/>
      <c r="G328" s="381"/>
      <c r="H328" s="358"/>
      <c r="M328" s="337"/>
    </row>
    <row r="329" spans="4:13" s="338" customFormat="1">
      <c r="D329" s="386"/>
      <c r="E329" s="386"/>
      <c r="F329" s="336"/>
      <c r="G329" s="381"/>
      <c r="H329" s="358"/>
      <c r="M329" s="337"/>
    </row>
    <row r="330" spans="4:13" s="338" customFormat="1">
      <c r="D330" s="386"/>
      <c r="E330" s="386"/>
      <c r="F330" s="336"/>
      <c r="G330" s="381"/>
      <c r="H330" s="358"/>
      <c r="M330" s="337"/>
    </row>
    <row r="331" spans="4:13" s="338" customFormat="1">
      <c r="D331" s="386"/>
      <c r="E331" s="386"/>
      <c r="F331" s="336"/>
      <c r="G331" s="381"/>
      <c r="H331" s="358"/>
      <c r="M331" s="337"/>
    </row>
    <row r="332" spans="4:13" s="338" customFormat="1">
      <c r="D332" s="386"/>
      <c r="E332" s="386"/>
      <c r="F332" s="336"/>
      <c r="G332" s="381"/>
      <c r="H332" s="358"/>
      <c r="M332" s="337"/>
    </row>
    <row r="333" spans="4:13" s="338" customFormat="1">
      <c r="D333" s="386"/>
      <c r="E333" s="386"/>
      <c r="F333" s="336"/>
      <c r="G333" s="381"/>
      <c r="H333" s="358"/>
      <c r="M333" s="337"/>
    </row>
    <row r="334" spans="4:13" s="338" customFormat="1">
      <c r="D334" s="386"/>
      <c r="E334" s="386"/>
      <c r="F334" s="336"/>
      <c r="G334" s="381"/>
      <c r="H334" s="358"/>
      <c r="M334" s="337"/>
    </row>
    <row r="335" spans="4:13" s="338" customFormat="1">
      <c r="D335" s="386"/>
      <c r="E335" s="386"/>
      <c r="F335" s="336"/>
      <c r="G335" s="381"/>
      <c r="H335" s="358"/>
      <c r="M335" s="337"/>
    </row>
    <row r="336" spans="4:13" s="338" customFormat="1">
      <c r="D336" s="386"/>
      <c r="E336" s="386"/>
      <c r="F336" s="336"/>
      <c r="G336" s="381"/>
      <c r="H336" s="358"/>
      <c r="M336" s="337"/>
    </row>
    <row r="337" spans="4:13" s="338" customFormat="1">
      <c r="D337" s="386"/>
      <c r="E337" s="386"/>
      <c r="F337" s="336"/>
      <c r="G337" s="381"/>
      <c r="H337" s="358"/>
      <c r="M337" s="337"/>
    </row>
    <row r="338" spans="4:13" s="338" customFormat="1">
      <c r="D338" s="386"/>
      <c r="E338" s="386"/>
      <c r="F338" s="336"/>
      <c r="G338" s="381"/>
      <c r="H338" s="358"/>
      <c r="M338" s="337"/>
    </row>
    <row r="339" spans="4:13" s="338" customFormat="1">
      <c r="D339" s="386"/>
      <c r="E339" s="386"/>
      <c r="F339" s="336"/>
      <c r="G339" s="381"/>
      <c r="H339" s="358"/>
      <c r="M339" s="337"/>
    </row>
    <row r="340" spans="4:13" s="338" customFormat="1">
      <c r="D340" s="386"/>
      <c r="E340" s="386"/>
      <c r="F340" s="336"/>
      <c r="G340" s="381"/>
      <c r="H340" s="358"/>
      <c r="M340" s="337"/>
    </row>
    <row r="341" spans="4:13" s="338" customFormat="1">
      <c r="D341" s="386"/>
      <c r="E341" s="386"/>
      <c r="F341" s="336"/>
      <c r="G341" s="381"/>
      <c r="H341" s="358"/>
      <c r="M341" s="337"/>
    </row>
    <row r="342" spans="4:13" s="338" customFormat="1">
      <c r="D342" s="386"/>
      <c r="E342" s="386"/>
      <c r="F342" s="336"/>
      <c r="G342" s="381"/>
      <c r="H342" s="358"/>
      <c r="M342" s="337"/>
    </row>
    <row r="343" spans="4:13" s="338" customFormat="1">
      <c r="D343" s="386"/>
      <c r="E343" s="386"/>
      <c r="F343" s="336"/>
      <c r="G343" s="381"/>
      <c r="H343" s="358"/>
      <c r="M343" s="337"/>
    </row>
    <row r="344" spans="4:13" s="338" customFormat="1">
      <c r="D344" s="386"/>
      <c r="E344" s="386"/>
      <c r="F344" s="336"/>
      <c r="G344" s="381"/>
      <c r="H344" s="358"/>
      <c r="M344" s="337"/>
    </row>
    <row r="345" spans="4:13" s="338" customFormat="1">
      <c r="D345" s="386"/>
      <c r="E345" s="386"/>
      <c r="F345" s="336"/>
      <c r="G345" s="381"/>
      <c r="H345" s="358"/>
      <c r="M345" s="337"/>
    </row>
    <row r="346" spans="4:13" s="338" customFormat="1">
      <c r="D346" s="386"/>
      <c r="E346" s="386"/>
      <c r="F346" s="336"/>
      <c r="G346" s="381"/>
      <c r="H346" s="358"/>
      <c r="M346" s="337"/>
    </row>
    <row r="347" spans="4:13" s="338" customFormat="1">
      <c r="D347" s="386"/>
      <c r="E347" s="386"/>
      <c r="F347" s="336"/>
      <c r="G347" s="381"/>
      <c r="H347" s="358"/>
      <c r="M347" s="337"/>
    </row>
    <row r="348" spans="4:13" s="338" customFormat="1">
      <c r="D348" s="386"/>
      <c r="E348" s="386"/>
      <c r="F348" s="336"/>
      <c r="G348" s="381"/>
      <c r="H348" s="358"/>
      <c r="M348" s="337"/>
    </row>
    <row r="349" spans="4:13" s="338" customFormat="1">
      <c r="D349" s="386"/>
      <c r="E349" s="386"/>
      <c r="F349" s="336"/>
      <c r="G349" s="381"/>
      <c r="H349" s="358"/>
      <c r="M349" s="337"/>
    </row>
    <row r="350" spans="4:13" s="338" customFormat="1">
      <c r="D350" s="386"/>
      <c r="E350" s="386"/>
      <c r="F350" s="336"/>
      <c r="G350" s="381"/>
      <c r="H350" s="358"/>
      <c r="M350" s="337"/>
    </row>
    <row r="351" spans="4:13" s="338" customFormat="1">
      <c r="D351" s="386"/>
      <c r="E351" s="386"/>
      <c r="F351" s="336"/>
      <c r="G351" s="381"/>
      <c r="H351" s="358"/>
      <c r="M351" s="337"/>
    </row>
    <row r="352" spans="4:13" s="338" customFormat="1">
      <c r="D352" s="386"/>
      <c r="E352" s="386"/>
      <c r="F352" s="336"/>
      <c r="G352" s="381"/>
      <c r="H352" s="358"/>
      <c r="M352" s="337"/>
    </row>
    <row r="353" spans="4:13" s="338" customFormat="1">
      <c r="D353" s="386"/>
      <c r="E353" s="386"/>
      <c r="F353" s="336"/>
      <c r="G353" s="381"/>
      <c r="H353" s="358"/>
      <c r="M353" s="337"/>
    </row>
    <row r="354" spans="4:13" s="338" customFormat="1">
      <c r="D354" s="386"/>
      <c r="E354" s="386"/>
      <c r="F354" s="336"/>
      <c r="G354" s="381"/>
      <c r="H354" s="358"/>
      <c r="M354" s="337"/>
    </row>
    <row r="355" spans="4:13" s="338" customFormat="1">
      <c r="D355" s="386"/>
      <c r="E355" s="386"/>
      <c r="F355" s="336"/>
      <c r="G355" s="381"/>
      <c r="H355" s="358"/>
      <c r="M355" s="337"/>
    </row>
    <row r="356" spans="4:13" s="338" customFormat="1">
      <c r="D356" s="386"/>
      <c r="E356" s="386"/>
      <c r="F356" s="336"/>
      <c r="G356" s="381"/>
      <c r="H356" s="358"/>
      <c r="M356" s="337"/>
    </row>
    <row r="357" spans="4:13" s="338" customFormat="1">
      <c r="D357" s="386"/>
      <c r="E357" s="386"/>
      <c r="F357" s="336"/>
      <c r="G357" s="381"/>
      <c r="H357" s="358"/>
      <c r="M357" s="337"/>
    </row>
    <row r="358" spans="4:13" s="338" customFormat="1">
      <c r="D358" s="386"/>
      <c r="E358" s="386"/>
      <c r="F358" s="336"/>
      <c r="G358" s="381"/>
      <c r="H358" s="358"/>
      <c r="M358" s="337"/>
    </row>
    <row r="359" spans="4:13" s="338" customFormat="1">
      <c r="D359" s="386"/>
      <c r="E359" s="386"/>
      <c r="F359" s="336"/>
      <c r="G359" s="381"/>
      <c r="H359" s="358"/>
      <c r="M359" s="337"/>
    </row>
    <row r="360" spans="4:13" s="338" customFormat="1">
      <c r="D360" s="386"/>
      <c r="E360" s="386"/>
      <c r="F360" s="336"/>
      <c r="G360" s="381"/>
      <c r="H360" s="358"/>
      <c r="M360" s="337"/>
    </row>
    <row r="361" spans="4:13" s="338" customFormat="1">
      <c r="D361" s="386"/>
      <c r="E361" s="386"/>
      <c r="F361" s="336"/>
      <c r="G361" s="381"/>
      <c r="H361" s="358"/>
      <c r="M361" s="337"/>
    </row>
    <row r="362" spans="4:13" s="338" customFormat="1">
      <c r="D362" s="386"/>
      <c r="E362" s="386"/>
      <c r="F362" s="336"/>
      <c r="G362" s="381"/>
      <c r="H362" s="358"/>
      <c r="M362" s="337"/>
    </row>
    <row r="363" spans="4:13" s="338" customFormat="1">
      <c r="D363" s="386"/>
      <c r="E363" s="386"/>
      <c r="F363" s="336"/>
      <c r="G363" s="381"/>
      <c r="H363" s="358"/>
      <c r="M363" s="337"/>
    </row>
    <row r="364" spans="4:13" s="338" customFormat="1">
      <c r="D364" s="386"/>
      <c r="E364" s="386"/>
      <c r="F364" s="336"/>
      <c r="G364" s="381"/>
      <c r="H364" s="358"/>
      <c r="M364" s="337"/>
    </row>
    <row r="365" spans="4:13" s="338" customFormat="1">
      <c r="D365" s="386"/>
      <c r="E365" s="386"/>
      <c r="F365" s="336"/>
      <c r="G365" s="381"/>
      <c r="H365" s="358"/>
      <c r="M365" s="337"/>
    </row>
    <row r="366" spans="4:13" s="338" customFormat="1">
      <c r="D366" s="386"/>
      <c r="E366" s="386"/>
      <c r="F366" s="336"/>
      <c r="G366" s="381"/>
      <c r="H366" s="358"/>
      <c r="M366" s="337"/>
    </row>
    <row r="367" spans="4:13" s="338" customFormat="1">
      <c r="D367" s="386"/>
      <c r="E367" s="386"/>
      <c r="F367" s="336"/>
      <c r="G367" s="381"/>
      <c r="H367" s="358"/>
      <c r="M367" s="337"/>
    </row>
    <row r="368" spans="4:13" s="338" customFormat="1">
      <c r="D368" s="386"/>
      <c r="E368" s="386"/>
      <c r="F368" s="336"/>
      <c r="G368" s="381"/>
      <c r="H368" s="358"/>
      <c r="M368" s="337"/>
    </row>
    <row r="369" spans="4:13" s="338" customFormat="1">
      <c r="D369" s="386"/>
      <c r="E369" s="386"/>
      <c r="F369" s="336"/>
      <c r="G369" s="381"/>
      <c r="H369" s="358"/>
      <c r="M369" s="337"/>
    </row>
    <row r="370" spans="4:13" s="338" customFormat="1">
      <c r="D370" s="386"/>
      <c r="E370" s="386"/>
      <c r="F370" s="336"/>
      <c r="G370" s="381"/>
      <c r="H370" s="358"/>
      <c r="M370" s="337"/>
    </row>
    <row r="371" spans="4:13" s="338" customFormat="1">
      <c r="D371" s="386"/>
      <c r="E371" s="386"/>
      <c r="F371" s="336"/>
      <c r="G371" s="381"/>
      <c r="H371" s="358"/>
      <c r="M371" s="337"/>
    </row>
    <row r="372" spans="4:13" s="338" customFormat="1">
      <c r="D372" s="386"/>
      <c r="E372" s="386"/>
      <c r="F372" s="336"/>
      <c r="G372" s="381"/>
      <c r="H372" s="358"/>
      <c r="M372" s="337"/>
    </row>
    <row r="373" spans="4:13" s="338" customFormat="1">
      <c r="D373" s="386"/>
      <c r="E373" s="386"/>
      <c r="F373" s="336"/>
      <c r="G373" s="381"/>
      <c r="H373" s="358"/>
      <c r="M373" s="337"/>
    </row>
    <row r="374" spans="4:13" s="338" customFormat="1">
      <c r="D374" s="386"/>
      <c r="E374" s="386"/>
      <c r="F374" s="336"/>
      <c r="G374" s="381"/>
      <c r="H374" s="358"/>
      <c r="M374" s="337"/>
    </row>
    <row r="375" spans="4:13" s="338" customFormat="1">
      <c r="D375" s="386"/>
      <c r="E375" s="386"/>
      <c r="F375" s="336"/>
      <c r="G375" s="381"/>
      <c r="H375" s="358"/>
      <c r="M375" s="337"/>
    </row>
    <row r="376" spans="4:13" s="338" customFormat="1">
      <c r="D376" s="386"/>
      <c r="E376" s="386"/>
      <c r="F376" s="336"/>
      <c r="G376" s="381"/>
      <c r="H376" s="358"/>
      <c r="M376" s="337"/>
    </row>
    <row r="377" spans="4:13" s="338" customFormat="1">
      <c r="D377" s="386"/>
      <c r="E377" s="386"/>
      <c r="F377" s="336"/>
      <c r="G377" s="381"/>
      <c r="H377" s="358"/>
      <c r="M377" s="337"/>
    </row>
    <row r="378" spans="4:13" s="338" customFormat="1">
      <c r="D378" s="386"/>
      <c r="E378" s="386"/>
      <c r="F378" s="336"/>
      <c r="G378" s="381"/>
      <c r="H378" s="358"/>
      <c r="M378" s="337"/>
    </row>
    <row r="379" spans="4:13" s="338" customFormat="1">
      <c r="D379" s="386"/>
      <c r="E379" s="386"/>
      <c r="F379" s="336"/>
      <c r="G379" s="381"/>
      <c r="H379" s="358"/>
      <c r="M379" s="337"/>
    </row>
    <row r="380" spans="4:13" s="338" customFormat="1">
      <c r="D380" s="386"/>
      <c r="E380" s="386"/>
      <c r="F380" s="336"/>
      <c r="G380" s="381"/>
      <c r="H380" s="358"/>
      <c r="M380" s="337"/>
    </row>
    <row r="381" spans="4:13" s="338" customFormat="1">
      <c r="D381" s="386"/>
      <c r="E381" s="386"/>
      <c r="F381" s="336"/>
      <c r="G381" s="381"/>
      <c r="H381" s="358"/>
      <c r="M381" s="337"/>
    </row>
    <row r="382" spans="4:13" s="338" customFormat="1">
      <c r="D382" s="386"/>
      <c r="E382" s="386"/>
      <c r="F382" s="336"/>
      <c r="G382" s="381"/>
      <c r="H382" s="358"/>
      <c r="M382" s="337"/>
    </row>
    <row r="383" spans="4:13" s="338" customFormat="1">
      <c r="D383" s="386"/>
      <c r="E383" s="386"/>
      <c r="F383" s="336"/>
      <c r="G383" s="381"/>
      <c r="H383" s="358"/>
      <c r="M383" s="337"/>
    </row>
    <row r="384" spans="4:13" s="338" customFormat="1">
      <c r="D384" s="386"/>
      <c r="E384" s="386"/>
      <c r="F384" s="336"/>
      <c r="G384" s="381"/>
      <c r="H384" s="358"/>
      <c r="M384" s="337"/>
    </row>
    <row r="385" spans="4:13" s="338" customFormat="1">
      <c r="D385" s="386"/>
      <c r="E385" s="386"/>
      <c r="F385" s="336"/>
      <c r="G385" s="381"/>
      <c r="H385" s="358"/>
      <c r="M385" s="337"/>
    </row>
    <row r="386" spans="4:13" s="338" customFormat="1">
      <c r="D386" s="386"/>
      <c r="E386" s="386"/>
      <c r="F386" s="336"/>
      <c r="G386" s="381"/>
      <c r="H386" s="358"/>
      <c r="M386" s="337"/>
    </row>
    <row r="387" spans="4:13" s="338" customFormat="1">
      <c r="D387" s="386"/>
      <c r="E387" s="386"/>
      <c r="F387" s="336"/>
      <c r="G387" s="381"/>
      <c r="H387" s="358"/>
      <c r="M387" s="337"/>
    </row>
    <row r="388" spans="4:13" s="338" customFormat="1">
      <c r="D388" s="386"/>
      <c r="E388" s="386"/>
      <c r="F388" s="336"/>
      <c r="G388" s="381"/>
      <c r="H388" s="358"/>
      <c r="M388" s="337"/>
    </row>
    <row r="389" spans="4:13" s="338" customFormat="1">
      <c r="D389" s="386"/>
      <c r="E389" s="386"/>
      <c r="F389" s="336"/>
      <c r="G389" s="381"/>
      <c r="H389" s="358"/>
      <c r="M389" s="337"/>
    </row>
    <row r="390" spans="4:13" s="338" customFormat="1">
      <c r="D390" s="386"/>
      <c r="E390" s="386"/>
      <c r="F390" s="336"/>
      <c r="G390" s="381"/>
      <c r="H390" s="358"/>
      <c r="M390" s="337"/>
    </row>
    <row r="391" spans="4:13" s="338" customFormat="1">
      <c r="D391" s="386"/>
      <c r="E391" s="386"/>
      <c r="F391" s="336"/>
      <c r="G391" s="381"/>
      <c r="H391" s="358"/>
      <c r="M391" s="337"/>
    </row>
    <row r="392" spans="4:13" s="338" customFormat="1">
      <c r="D392" s="386"/>
      <c r="E392" s="386"/>
      <c r="F392" s="336"/>
      <c r="G392" s="381"/>
      <c r="H392" s="358"/>
      <c r="M392" s="337"/>
    </row>
    <row r="393" spans="4:13" s="338" customFormat="1">
      <c r="D393" s="386"/>
      <c r="E393" s="386"/>
      <c r="F393" s="336"/>
      <c r="G393" s="381"/>
      <c r="H393" s="358"/>
      <c r="M393" s="337"/>
    </row>
    <row r="394" spans="4:13" s="338" customFormat="1">
      <c r="D394" s="386"/>
      <c r="E394" s="386"/>
      <c r="F394" s="336"/>
      <c r="G394" s="381"/>
      <c r="H394" s="358"/>
      <c r="M394" s="337"/>
    </row>
    <row r="395" spans="4:13" s="338" customFormat="1">
      <c r="D395" s="386"/>
      <c r="E395" s="386"/>
      <c r="F395" s="336"/>
      <c r="G395" s="381"/>
      <c r="H395" s="358"/>
      <c r="M395" s="337"/>
    </row>
    <row r="396" spans="4:13" s="338" customFormat="1">
      <c r="D396" s="386"/>
      <c r="E396" s="386"/>
      <c r="F396" s="336"/>
      <c r="G396" s="381"/>
      <c r="H396" s="358"/>
      <c r="M396" s="337"/>
    </row>
    <row r="397" spans="4:13" s="338" customFormat="1">
      <c r="D397" s="386"/>
      <c r="E397" s="386"/>
      <c r="F397" s="336"/>
      <c r="G397" s="381"/>
      <c r="H397" s="358"/>
      <c r="M397" s="337"/>
    </row>
    <row r="398" spans="4:13" s="338" customFormat="1">
      <c r="D398" s="386"/>
      <c r="E398" s="386"/>
      <c r="F398" s="336"/>
      <c r="G398" s="381"/>
      <c r="H398" s="358"/>
      <c r="M398" s="337"/>
    </row>
    <row r="399" spans="4:13" s="338" customFormat="1">
      <c r="D399" s="386"/>
      <c r="E399" s="386"/>
      <c r="F399" s="336"/>
      <c r="G399" s="381"/>
      <c r="H399" s="358"/>
      <c r="M399" s="337"/>
    </row>
    <row r="400" spans="4:13" s="338" customFormat="1">
      <c r="D400" s="386"/>
      <c r="E400" s="386"/>
      <c r="F400" s="336"/>
      <c r="G400" s="381"/>
      <c r="H400" s="358"/>
      <c r="M400" s="337"/>
    </row>
    <row r="401" spans="4:13" s="338" customFormat="1">
      <c r="D401" s="386"/>
      <c r="E401" s="386"/>
      <c r="F401" s="336"/>
      <c r="G401" s="381"/>
      <c r="H401" s="358"/>
      <c r="M401" s="337"/>
    </row>
    <row r="402" spans="4:13" s="338" customFormat="1">
      <c r="D402" s="386"/>
      <c r="E402" s="386"/>
      <c r="F402" s="336"/>
      <c r="G402" s="381"/>
      <c r="H402" s="358"/>
      <c r="M402" s="337"/>
    </row>
    <row r="403" spans="4:13" s="338" customFormat="1">
      <c r="D403" s="386"/>
      <c r="E403" s="386"/>
      <c r="F403" s="336"/>
      <c r="G403" s="381"/>
      <c r="H403" s="358"/>
      <c r="M403" s="337"/>
    </row>
    <row r="404" spans="4:13" s="338" customFormat="1">
      <c r="D404" s="386"/>
      <c r="E404" s="386"/>
      <c r="F404" s="336"/>
      <c r="G404" s="381"/>
      <c r="H404" s="358"/>
      <c r="M404" s="337"/>
    </row>
    <row r="405" spans="4:13" s="338" customFormat="1">
      <c r="D405" s="386"/>
      <c r="E405" s="386"/>
      <c r="F405" s="336"/>
      <c r="G405" s="381"/>
      <c r="H405" s="358"/>
      <c r="M405" s="337"/>
    </row>
    <row r="406" spans="4:13" s="338" customFormat="1">
      <c r="D406" s="386"/>
      <c r="E406" s="386"/>
      <c r="F406" s="336"/>
      <c r="G406" s="381"/>
      <c r="H406" s="358"/>
      <c r="M406" s="337"/>
    </row>
    <row r="407" spans="4:13" s="338" customFormat="1">
      <c r="D407" s="386"/>
      <c r="E407" s="386"/>
      <c r="F407" s="336"/>
      <c r="G407" s="381"/>
      <c r="H407" s="358"/>
      <c r="M407" s="337"/>
    </row>
    <row r="408" spans="4:13" s="338" customFormat="1">
      <c r="D408" s="386"/>
      <c r="E408" s="386"/>
      <c r="F408" s="336"/>
      <c r="G408" s="381"/>
      <c r="H408" s="358"/>
      <c r="M408" s="337"/>
    </row>
    <row r="409" spans="4:13" s="338" customFormat="1">
      <c r="D409" s="386"/>
      <c r="E409" s="386"/>
      <c r="F409" s="336"/>
      <c r="G409" s="381"/>
      <c r="H409" s="358"/>
      <c r="M409" s="337"/>
    </row>
    <row r="410" spans="4:13" s="338" customFormat="1">
      <c r="D410" s="386"/>
      <c r="E410" s="386"/>
      <c r="F410" s="336"/>
      <c r="G410" s="381"/>
      <c r="H410" s="358"/>
      <c r="M410" s="337"/>
    </row>
    <row r="411" spans="4:13" s="338" customFormat="1">
      <c r="D411" s="386"/>
      <c r="E411" s="386"/>
      <c r="F411" s="336"/>
      <c r="G411" s="381"/>
      <c r="H411" s="358"/>
      <c r="M411" s="337"/>
    </row>
    <row r="412" spans="4:13" s="338" customFormat="1">
      <c r="D412" s="386"/>
      <c r="E412" s="386"/>
      <c r="F412" s="336"/>
      <c r="G412" s="381"/>
      <c r="H412" s="358"/>
      <c r="M412" s="337"/>
    </row>
    <row r="413" spans="4:13" s="338" customFormat="1">
      <c r="D413" s="386"/>
      <c r="E413" s="386"/>
      <c r="F413" s="336"/>
      <c r="G413" s="381"/>
      <c r="H413" s="358"/>
      <c r="M413" s="337"/>
    </row>
    <row r="414" spans="4:13" s="338" customFormat="1">
      <c r="D414" s="386"/>
      <c r="E414" s="386"/>
      <c r="F414" s="336"/>
      <c r="G414" s="381"/>
      <c r="H414" s="358"/>
      <c r="M414" s="337"/>
    </row>
    <row r="415" spans="4:13" s="338" customFormat="1">
      <c r="D415" s="386"/>
      <c r="E415" s="386"/>
      <c r="F415" s="336"/>
      <c r="G415" s="381"/>
      <c r="H415" s="358"/>
      <c r="M415" s="337"/>
    </row>
    <row r="416" spans="4:13" s="338" customFormat="1">
      <c r="D416" s="386"/>
      <c r="E416" s="386"/>
      <c r="F416" s="336"/>
      <c r="G416" s="381"/>
      <c r="H416" s="358"/>
      <c r="M416" s="337"/>
    </row>
    <row r="417" spans="4:13" s="338" customFormat="1">
      <c r="D417" s="386"/>
      <c r="E417" s="386"/>
      <c r="F417" s="336"/>
      <c r="G417" s="381"/>
      <c r="H417" s="358"/>
      <c r="M417" s="337"/>
    </row>
    <row r="418" spans="4:13" s="338" customFormat="1">
      <c r="D418" s="386"/>
      <c r="E418" s="386"/>
      <c r="F418" s="336"/>
      <c r="G418" s="381"/>
      <c r="H418" s="358"/>
      <c r="M418" s="337"/>
    </row>
    <row r="419" spans="4:13" s="338" customFormat="1">
      <c r="D419" s="386"/>
      <c r="E419" s="386"/>
      <c r="F419" s="336"/>
      <c r="G419" s="381"/>
      <c r="H419" s="358"/>
      <c r="M419" s="337"/>
    </row>
    <row r="420" spans="4:13" s="338" customFormat="1">
      <c r="D420" s="386"/>
      <c r="E420" s="386"/>
      <c r="F420" s="336"/>
      <c r="G420" s="381"/>
      <c r="H420" s="358"/>
      <c r="M420" s="337"/>
    </row>
    <row r="421" spans="4:13" s="338" customFormat="1">
      <c r="D421" s="386"/>
      <c r="E421" s="386"/>
      <c r="F421" s="336"/>
      <c r="G421" s="381"/>
      <c r="H421" s="358"/>
      <c r="M421" s="337"/>
    </row>
    <row r="422" spans="4:13" s="338" customFormat="1">
      <c r="D422" s="386"/>
      <c r="E422" s="386"/>
      <c r="F422" s="336"/>
      <c r="G422" s="381"/>
      <c r="H422" s="358"/>
      <c r="M422" s="337"/>
    </row>
    <row r="423" spans="4:13" s="338" customFormat="1">
      <c r="D423" s="386"/>
      <c r="E423" s="386"/>
      <c r="F423" s="336"/>
      <c r="G423" s="381"/>
      <c r="H423" s="358"/>
      <c r="M423" s="337"/>
    </row>
    <row r="424" spans="4:13" s="338" customFormat="1">
      <c r="D424" s="386"/>
      <c r="E424" s="386"/>
      <c r="F424" s="336"/>
      <c r="G424" s="381"/>
      <c r="H424" s="358"/>
      <c r="M424" s="337"/>
    </row>
    <row r="425" spans="4:13" s="338" customFormat="1">
      <c r="D425" s="386"/>
      <c r="E425" s="386"/>
      <c r="F425" s="336"/>
      <c r="G425" s="381"/>
      <c r="H425" s="358"/>
      <c r="M425" s="337"/>
    </row>
    <row r="426" spans="4:13" s="338" customFormat="1">
      <c r="D426" s="386"/>
      <c r="E426" s="386"/>
      <c r="F426" s="336"/>
      <c r="G426" s="381"/>
      <c r="H426" s="358"/>
      <c r="M426" s="337"/>
    </row>
    <row r="427" spans="4:13" s="338" customFormat="1">
      <c r="D427" s="386"/>
      <c r="E427" s="386"/>
      <c r="F427" s="336"/>
      <c r="G427" s="381"/>
      <c r="H427" s="358"/>
      <c r="M427" s="337"/>
    </row>
    <row r="428" spans="4:13" s="338" customFormat="1">
      <c r="D428" s="386"/>
      <c r="E428" s="386"/>
      <c r="F428" s="336"/>
      <c r="G428" s="381"/>
      <c r="H428" s="358"/>
      <c r="M428" s="337"/>
    </row>
    <row r="429" spans="4:13" s="338" customFormat="1">
      <c r="D429" s="386"/>
      <c r="E429" s="386"/>
      <c r="F429" s="336"/>
      <c r="G429" s="381"/>
      <c r="H429" s="358"/>
      <c r="M429" s="337"/>
    </row>
    <row r="430" spans="4:13" s="338" customFormat="1">
      <c r="D430" s="386"/>
      <c r="E430" s="386"/>
      <c r="F430" s="336"/>
      <c r="G430" s="381"/>
      <c r="H430" s="358"/>
      <c r="M430" s="337"/>
    </row>
    <row r="431" spans="4:13" s="338" customFormat="1">
      <c r="D431" s="386"/>
      <c r="E431" s="386"/>
      <c r="F431" s="336"/>
      <c r="G431" s="381"/>
      <c r="H431" s="358"/>
      <c r="M431" s="337"/>
    </row>
    <row r="432" spans="4:13" s="338" customFormat="1">
      <c r="D432" s="386"/>
      <c r="E432" s="386"/>
      <c r="F432" s="336"/>
      <c r="G432" s="381"/>
      <c r="H432" s="358"/>
      <c r="M432" s="337"/>
    </row>
    <row r="433" spans="4:13" s="338" customFormat="1">
      <c r="D433" s="386"/>
      <c r="E433" s="386"/>
      <c r="F433" s="336"/>
      <c r="G433" s="381"/>
      <c r="H433" s="358"/>
      <c r="M433" s="337"/>
    </row>
    <row r="434" spans="4:13" s="338" customFormat="1">
      <c r="D434" s="386"/>
      <c r="E434" s="386"/>
      <c r="F434" s="336"/>
      <c r="G434" s="381"/>
      <c r="H434" s="358"/>
      <c r="M434" s="337"/>
    </row>
    <row r="435" spans="4:13" s="338" customFormat="1">
      <c r="D435" s="386"/>
      <c r="E435" s="386"/>
      <c r="F435" s="336"/>
      <c r="G435" s="381"/>
      <c r="H435" s="358"/>
      <c r="M435" s="337"/>
    </row>
    <row r="436" spans="4:13" s="338" customFormat="1">
      <c r="D436" s="386"/>
      <c r="E436" s="386"/>
      <c r="F436" s="336"/>
      <c r="G436" s="381"/>
      <c r="H436" s="358"/>
      <c r="M436" s="337"/>
    </row>
    <row r="437" spans="4:13" s="338" customFormat="1">
      <c r="D437" s="386"/>
      <c r="E437" s="386"/>
      <c r="F437" s="336"/>
      <c r="G437" s="381"/>
      <c r="H437" s="358"/>
      <c r="M437" s="337"/>
    </row>
    <row r="438" spans="4:13" s="338" customFormat="1">
      <c r="D438" s="386"/>
      <c r="E438" s="386"/>
      <c r="F438" s="336"/>
      <c r="G438" s="381"/>
      <c r="H438" s="358"/>
      <c r="M438" s="337"/>
    </row>
    <row r="439" spans="4:13" s="338" customFormat="1">
      <c r="D439" s="386"/>
      <c r="E439" s="386"/>
      <c r="F439" s="336"/>
      <c r="G439" s="381"/>
      <c r="H439" s="358"/>
      <c r="M439" s="337"/>
    </row>
    <row r="440" spans="4:13" s="338" customFormat="1">
      <c r="D440" s="386"/>
      <c r="E440" s="386"/>
      <c r="F440" s="336"/>
      <c r="G440" s="381"/>
      <c r="H440" s="358"/>
      <c r="M440" s="337"/>
    </row>
    <row r="441" spans="4:13" s="338" customFormat="1">
      <c r="D441" s="386"/>
      <c r="E441" s="386"/>
      <c r="F441" s="336"/>
      <c r="G441" s="381"/>
      <c r="H441" s="358"/>
      <c r="M441" s="337"/>
    </row>
    <row r="442" spans="4:13" s="338" customFormat="1">
      <c r="D442" s="386"/>
      <c r="E442" s="386"/>
      <c r="F442" s="336"/>
      <c r="G442" s="381"/>
      <c r="H442" s="358"/>
      <c r="M442" s="337"/>
    </row>
    <row r="443" spans="4:13" s="338" customFormat="1">
      <c r="D443" s="386"/>
      <c r="E443" s="386"/>
      <c r="F443" s="336"/>
      <c r="G443" s="381"/>
      <c r="H443" s="358"/>
      <c r="M443" s="337"/>
    </row>
    <row r="444" spans="4:13" s="338" customFormat="1">
      <c r="D444" s="386"/>
      <c r="E444" s="386"/>
      <c r="F444" s="336"/>
      <c r="G444" s="381"/>
      <c r="H444" s="358"/>
      <c r="M444" s="337"/>
    </row>
    <row r="445" spans="4:13" s="338" customFormat="1">
      <c r="D445" s="386"/>
      <c r="E445" s="386"/>
      <c r="F445" s="336"/>
      <c r="G445" s="381"/>
      <c r="H445" s="358"/>
      <c r="M445" s="337"/>
    </row>
    <row r="446" spans="4:13" s="338" customFormat="1">
      <c r="D446" s="386"/>
      <c r="E446" s="386"/>
      <c r="F446" s="336"/>
      <c r="G446" s="381"/>
      <c r="H446" s="358"/>
      <c r="M446" s="337"/>
    </row>
    <row r="447" spans="4:13" s="338" customFormat="1">
      <c r="D447" s="386"/>
      <c r="E447" s="386"/>
      <c r="F447" s="336"/>
      <c r="G447" s="381"/>
      <c r="H447" s="358"/>
      <c r="M447" s="337"/>
    </row>
    <row r="448" spans="4:13" s="338" customFormat="1">
      <c r="D448" s="386"/>
      <c r="E448" s="386"/>
      <c r="F448" s="336"/>
      <c r="G448" s="381"/>
      <c r="H448" s="358"/>
      <c r="M448" s="337"/>
    </row>
    <row r="449" spans="4:13" s="338" customFormat="1">
      <c r="D449" s="386"/>
      <c r="E449" s="386"/>
      <c r="F449" s="336"/>
      <c r="G449" s="381"/>
      <c r="H449" s="358"/>
      <c r="M449" s="337"/>
    </row>
    <row r="450" spans="4:13" s="338" customFormat="1">
      <c r="D450" s="386"/>
      <c r="E450" s="386"/>
      <c r="F450" s="336"/>
      <c r="G450" s="381"/>
      <c r="H450" s="358"/>
      <c r="M450" s="337"/>
    </row>
    <row r="451" spans="4:13" s="338" customFormat="1">
      <c r="D451" s="386"/>
      <c r="E451" s="386"/>
      <c r="F451" s="336"/>
      <c r="G451" s="381"/>
      <c r="H451" s="358"/>
      <c r="M451" s="337"/>
    </row>
    <row r="452" spans="4:13" s="338" customFormat="1">
      <c r="D452" s="386"/>
      <c r="E452" s="386"/>
      <c r="F452" s="336"/>
      <c r="G452" s="381"/>
      <c r="H452" s="358"/>
      <c r="M452" s="337"/>
    </row>
    <row r="453" spans="4:13" s="338" customFormat="1">
      <c r="D453" s="386"/>
      <c r="E453" s="386"/>
      <c r="F453" s="336"/>
      <c r="G453" s="381"/>
      <c r="H453" s="358"/>
      <c r="M453" s="337"/>
    </row>
    <row r="454" spans="4:13" s="338" customFormat="1">
      <c r="D454" s="386"/>
      <c r="E454" s="386"/>
      <c r="F454" s="336"/>
      <c r="G454" s="381"/>
      <c r="H454" s="358"/>
      <c r="M454" s="337"/>
    </row>
    <row r="455" spans="4:13" s="338" customFormat="1">
      <c r="D455" s="386"/>
      <c r="E455" s="386"/>
      <c r="F455" s="336"/>
      <c r="G455" s="381"/>
      <c r="H455" s="358"/>
      <c r="M455" s="337"/>
    </row>
    <row r="456" spans="4:13" s="338" customFormat="1">
      <c r="D456" s="386"/>
      <c r="E456" s="386"/>
      <c r="F456" s="336"/>
      <c r="G456" s="381"/>
      <c r="H456" s="358"/>
      <c r="M456" s="337"/>
    </row>
    <row r="457" spans="4:13" s="338" customFormat="1">
      <c r="D457" s="386"/>
      <c r="E457" s="386"/>
      <c r="F457" s="336"/>
      <c r="G457" s="381"/>
      <c r="H457" s="358"/>
      <c r="M457" s="337"/>
    </row>
    <row r="458" spans="4:13" s="338" customFormat="1">
      <c r="D458" s="386"/>
      <c r="E458" s="386"/>
      <c r="F458" s="336"/>
      <c r="G458" s="381"/>
      <c r="H458" s="358"/>
      <c r="M458" s="337"/>
    </row>
    <row r="459" spans="4:13" s="338" customFormat="1">
      <c r="D459" s="386"/>
      <c r="E459" s="386"/>
      <c r="F459" s="336"/>
      <c r="G459" s="381"/>
      <c r="H459" s="358"/>
      <c r="M459" s="337"/>
    </row>
    <row r="460" spans="4:13" s="338" customFormat="1">
      <c r="D460" s="386"/>
      <c r="E460" s="386"/>
      <c r="F460" s="336"/>
      <c r="G460" s="381"/>
      <c r="H460" s="358"/>
      <c r="M460" s="337"/>
    </row>
    <row r="461" spans="4:13" s="338" customFormat="1">
      <c r="D461" s="386"/>
      <c r="E461" s="386"/>
      <c r="F461" s="336"/>
      <c r="G461" s="381"/>
      <c r="H461" s="358"/>
      <c r="M461" s="337"/>
    </row>
    <row r="462" spans="4:13" s="338" customFormat="1">
      <c r="D462" s="386"/>
      <c r="E462" s="386"/>
      <c r="F462" s="336"/>
      <c r="G462" s="381"/>
      <c r="H462" s="358"/>
      <c r="M462" s="337"/>
    </row>
    <row r="463" spans="4:13" s="338" customFormat="1">
      <c r="D463" s="386"/>
      <c r="E463" s="386"/>
      <c r="F463" s="336"/>
      <c r="G463" s="381"/>
      <c r="H463" s="358"/>
      <c r="M463" s="337"/>
    </row>
    <row r="464" spans="4:13" s="338" customFormat="1">
      <c r="D464" s="386"/>
      <c r="E464" s="386"/>
      <c r="F464" s="336"/>
      <c r="G464" s="381"/>
      <c r="H464" s="358"/>
      <c r="M464" s="337"/>
    </row>
    <row r="465" spans="4:13" s="338" customFormat="1">
      <c r="D465" s="386"/>
      <c r="E465" s="386"/>
      <c r="F465" s="336"/>
      <c r="G465" s="381"/>
      <c r="H465" s="358"/>
      <c r="M465" s="337"/>
    </row>
    <row r="466" spans="4:13" s="338" customFormat="1">
      <c r="D466" s="386"/>
      <c r="E466" s="386"/>
      <c r="F466" s="336"/>
      <c r="G466" s="381"/>
      <c r="H466" s="358"/>
      <c r="M466" s="337"/>
    </row>
    <row r="467" spans="4:13" s="338" customFormat="1">
      <c r="D467" s="386"/>
      <c r="E467" s="386"/>
      <c r="F467" s="336"/>
      <c r="G467" s="381"/>
      <c r="H467" s="358"/>
      <c r="M467" s="337"/>
    </row>
    <row r="468" spans="4:13" s="338" customFormat="1">
      <c r="D468" s="386"/>
      <c r="E468" s="386"/>
      <c r="F468" s="336"/>
      <c r="G468" s="381"/>
      <c r="H468" s="358"/>
      <c r="M468" s="337"/>
    </row>
    <row r="469" spans="4:13" s="338" customFormat="1">
      <c r="D469" s="386"/>
      <c r="E469" s="386"/>
      <c r="F469" s="336"/>
      <c r="G469" s="381"/>
      <c r="H469" s="358"/>
      <c r="M469" s="337"/>
    </row>
    <row r="470" spans="4:13" s="338" customFormat="1">
      <c r="D470" s="386"/>
      <c r="E470" s="386"/>
      <c r="F470" s="336"/>
      <c r="G470" s="381"/>
      <c r="H470" s="358"/>
      <c r="M470" s="337"/>
    </row>
    <row r="471" spans="4:13" s="338" customFormat="1">
      <c r="D471" s="386"/>
      <c r="E471" s="386"/>
      <c r="F471" s="336"/>
      <c r="G471" s="381"/>
      <c r="H471" s="358"/>
      <c r="M471" s="337"/>
    </row>
    <row r="472" spans="4:13" s="338" customFormat="1">
      <c r="D472" s="386"/>
      <c r="E472" s="386"/>
      <c r="F472" s="336"/>
      <c r="G472" s="381"/>
      <c r="H472" s="358"/>
      <c r="M472" s="337"/>
    </row>
    <row r="473" spans="4:13" s="338" customFormat="1">
      <c r="D473" s="386"/>
      <c r="E473" s="386"/>
      <c r="F473" s="336"/>
      <c r="G473" s="381"/>
      <c r="H473" s="358"/>
      <c r="M473" s="337"/>
    </row>
    <row r="474" spans="4:13" s="338" customFormat="1">
      <c r="D474" s="386"/>
      <c r="E474" s="386"/>
      <c r="F474" s="336"/>
      <c r="G474" s="381"/>
      <c r="H474" s="358"/>
      <c r="M474" s="337"/>
    </row>
    <row r="475" spans="4:13" s="338" customFormat="1">
      <c r="D475" s="386"/>
      <c r="E475" s="386"/>
      <c r="F475" s="336"/>
      <c r="G475" s="381"/>
      <c r="H475" s="358"/>
      <c r="M475" s="337"/>
    </row>
    <row r="476" spans="4:13" s="338" customFormat="1">
      <c r="D476" s="386"/>
      <c r="E476" s="386"/>
      <c r="F476" s="336"/>
      <c r="G476" s="381"/>
      <c r="H476" s="358"/>
      <c r="M476" s="337"/>
    </row>
    <row r="477" spans="4:13" s="338" customFormat="1">
      <c r="D477" s="386"/>
      <c r="E477" s="386"/>
      <c r="F477" s="336"/>
      <c r="G477" s="381"/>
      <c r="H477" s="358"/>
      <c r="M477" s="337"/>
    </row>
    <row r="478" spans="4:13" s="338" customFormat="1">
      <c r="D478" s="386"/>
      <c r="E478" s="386"/>
      <c r="F478" s="336"/>
      <c r="G478" s="381"/>
      <c r="H478" s="358"/>
      <c r="M478" s="337"/>
    </row>
    <row r="479" spans="4:13" s="338" customFormat="1">
      <c r="D479" s="386"/>
      <c r="E479" s="386"/>
      <c r="F479" s="336"/>
      <c r="G479" s="381"/>
      <c r="H479" s="358"/>
      <c r="M479" s="337"/>
    </row>
    <row r="480" spans="4:13" s="338" customFormat="1">
      <c r="D480" s="386"/>
      <c r="E480" s="386"/>
      <c r="F480" s="336"/>
      <c r="G480" s="381"/>
      <c r="H480" s="358"/>
      <c r="M480" s="337"/>
    </row>
    <row r="481" spans="4:13" s="338" customFormat="1">
      <c r="D481" s="386"/>
      <c r="E481" s="386"/>
      <c r="F481" s="336"/>
      <c r="G481" s="381"/>
      <c r="H481" s="358"/>
      <c r="M481" s="337"/>
    </row>
    <row r="482" spans="4:13" s="338" customFormat="1">
      <c r="D482" s="386"/>
      <c r="E482" s="386"/>
      <c r="F482" s="336"/>
      <c r="G482" s="381"/>
      <c r="H482" s="358"/>
      <c r="M482" s="337"/>
    </row>
    <row r="483" spans="4:13" s="338" customFormat="1">
      <c r="D483" s="386"/>
      <c r="E483" s="386"/>
      <c r="F483" s="336"/>
      <c r="G483" s="381"/>
      <c r="H483" s="358"/>
      <c r="M483" s="337"/>
    </row>
    <row r="484" spans="4:13" s="338" customFormat="1">
      <c r="D484" s="386"/>
      <c r="E484" s="386"/>
      <c r="F484" s="336"/>
      <c r="G484" s="381"/>
      <c r="H484" s="358"/>
      <c r="M484" s="337"/>
    </row>
    <row r="485" spans="4:13" s="338" customFormat="1">
      <c r="D485" s="386"/>
      <c r="E485" s="386"/>
      <c r="F485" s="336"/>
      <c r="G485" s="381"/>
      <c r="H485" s="358"/>
      <c r="M485" s="337"/>
    </row>
    <row r="486" spans="4:13" s="338" customFormat="1">
      <c r="D486" s="386"/>
      <c r="E486" s="386"/>
      <c r="F486" s="336"/>
      <c r="G486" s="381"/>
      <c r="H486" s="358"/>
      <c r="M486" s="337"/>
    </row>
    <row r="487" spans="4:13" s="338" customFormat="1">
      <c r="D487" s="386"/>
      <c r="E487" s="386"/>
      <c r="F487" s="336"/>
      <c r="G487" s="381"/>
      <c r="H487" s="358"/>
      <c r="M487" s="337"/>
    </row>
    <row r="488" spans="4:13" s="338" customFormat="1">
      <c r="D488" s="386"/>
      <c r="E488" s="386"/>
      <c r="F488" s="336"/>
      <c r="G488" s="381"/>
      <c r="H488" s="358"/>
      <c r="M488" s="337"/>
    </row>
    <row r="489" spans="4:13" s="338" customFormat="1">
      <c r="D489" s="386"/>
      <c r="E489" s="386"/>
      <c r="F489" s="336"/>
      <c r="G489" s="381"/>
      <c r="H489" s="358"/>
      <c r="M489" s="337"/>
    </row>
    <row r="490" spans="4:13" s="338" customFormat="1">
      <c r="D490" s="386"/>
      <c r="E490" s="386"/>
      <c r="F490" s="336"/>
      <c r="G490" s="381"/>
      <c r="H490" s="358"/>
      <c r="M490" s="337"/>
    </row>
    <row r="491" spans="4:13" s="338" customFormat="1">
      <c r="D491" s="386"/>
      <c r="E491" s="386"/>
      <c r="F491" s="336"/>
      <c r="G491" s="381"/>
      <c r="H491" s="358"/>
      <c r="M491" s="337"/>
    </row>
    <row r="492" spans="4:13" s="338" customFormat="1">
      <c r="D492" s="386"/>
      <c r="E492" s="386"/>
      <c r="F492" s="336"/>
      <c r="G492" s="381"/>
      <c r="H492" s="358"/>
      <c r="M492" s="337"/>
    </row>
    <row r="493" spans="4:13" s="338" customFormat="1">
      <c r="D493" s="386"/>
      <c r="E493" s="386"/>
      <c r="F493" s="336"/>
      <c r="G493" s="381"/>
      <c r="H493" s="358"/>
      <c r="M493" s="337"/>
    </row>
    <row r="494" spans="4:13" s="338" customFormat="1">
      <c r="D494" s="386"/>
      <c r="E494" s="386"/>
      <c r="F494" s="336"/>
      <c r="G494" s="381"/>
      <c r="H494" s="358"/>
      <c r="M494" s="337"/>
    </row>
    <row r="495" spans="4:13" s="338" customFormat="1">
      <c r="D495" s="386"/>
      <c r="E495" s="386"/>
      <c r="F495" s="336"/>
      <c r="G495" s="381"/>
      <c r="H495" s="358"/>
      <c r="M495" s="337"/>
    </row>
    <row r="496" spans="4:13" s="338" customFormat="1">
      <c r="D496" s="386"/>
      <c r="E496" s="386"/>
      <c r="F496" s="336"/>
      <c r="G496" s="381"/>
      <c r="H496" s="358"/>
      <c r="M496" s="337"/>
    </row>
    <row r="497" spans="4:13" s="338" customFormat="1">
      <c r="D497" s="386"/>
      <c r="E497" s="386"/>
      <c r="F497" s="336"/>
      <c r="G497" s="381"/>
      <c r="H497" s="358"/>
      <c r="M497" s="337"/>
    </row>
    <row r="498" spans="4:13" s="338" customFormat="1">
      <c r="D498" s="386"/>
      <c r="E498" s="386"/>
      <c r="F498" s="336"/>
      <c r="G498" s="381"/>
      <c r="H498" s="358"/>
      <c r="M498" s="337"/>
    </row>
    <row r="499" spans="4:13" s="338" customFormat="1">
      <c r="D499" s="386"/>
      <c r="E499" s="386"/>
      <c r="F499" s="336"/>
      <c r="G499" s="381"/>
      <c r="H499" s="358"/>
      <c r="M499" s="337"/>
    </row>
    <row r="500" spans="4:13" s="338" customFormat="1">
      <c r="D500" s="386"/>
      <c r="E500" s="386"/>
      <c r="F500" s="336"/>
      <c r="G500" s="381"/>
      <c r="H500" s="358"/>
      <c r="M500" s="337"/>
    </row>
    <row r="501" spans="4:13" s="338" customFormat="1">
      <c r="D501" s="386"/>
      <c r="E501" s="386"/>
      <c r="F501" s="336"/>
      <c r="G501" s="381"/>
      <c r="H501" s="358"/>
      <c r="M501" s="337"/>
    </row>
    <row r="502" spans="4:13" s="338" customFormat="1">
      <c r="D502" s="386"/>
      <c r="E502" s="386"/>
      <c r="F502" s="336"/>
      <c r="G502" s="381"/>
      <c r="H502" s="358"/>
      <c r="M502" s="337"/>
    </row>
    <row r="503" spans="4:13" s="338" customFormat="1">
      <c r="D503" s="386"/>
      <c r="E503" s="386"/>
      <c r="F503" s="336"/>
      <c r="G503" s="381"/>
      <c r="H503" s="358"/>
      <c r="M503" s="337"/>
    </row>
    <row r="504" spans="4:13" s="338" customFormat="1">
      <c r="D504" s="386"/>
      <c r="E504" s="386"/>
      <c r="F504" s="336"/>
      <c r="G504" s="381"/>
      <c r="H504" s="358"/>
      <c r="M504" s="337"/>
    </row>
    <row r="505" spans="4:13" s="338" customFormat="1">
      <c r="D505" s="386"/>
      <c r="E505" s="386"/>
      <c r="F505" s="336"/>
      <c r="G505" s="381"/>
      <c r="H505" s="358"/>
      <c r="M505" s="337"/>
    </row>
    <row r="506" spans="4:13" s="338" customFormat="1">
      <c r="D506" s="386"/>
      <c r="E506" s="386"/>
      <c r="F506" s="336"/>
      <c r="G506" s="381"/>
      <c r="H506" s="358"/>
      <c r="M506" s="337"/>
    </row>
    <row r="507" spans="4:13" s="338" customFormat="1">
      <c r="D507" s="386"/>
      <c r="E507" s="386"/>
      <c r="F507" s="336"/>
      <c r="G507" s="381"/>
      <c r="H507" s="358"/>
      <c r="M507" s="337"/>
    </row>
    <row r="508" spans="4:13" s="338" customFormat="1">
      <c r="D508" s="386"/>
      <c r="E508" s="386"/>
      <c r="F508" s="336"/>
      <c r="G508" s="381"/>
      <c r="H508" s="358"/>
      <c r="M508" s="337"/>
    </row>
    <row r="509" spans="4:13" s="338" customFormat="1">
      <c r="D509" s="386"/>
      <c r="E509" s="386"/>
      <c r="F509" s="336"/>
      <c r="G509" s="381"/>
      <c r="H509" s="358"/>
      <c r="M509" s="337"/>
    </row>
    <row r="510" spans="4:13" s="338" customFormat="1">
      <c r="D510" s="386"/>
      <c r="E510" s="386"/>
      <c r="F510" s="336"/>
      <c r="G510" s="381"/>
      <c r="H510" s="358"/>
      <c r="M510" s="337"/>
    </row>
    <row r="511" spans="4:13" s="338" customFormat="1">
      <c r="D511" s="386"/>
      <c r="E511" s="386"/>
      <c r="F511" s="336"/>
      <c r="G511" s="381"/>
      <c r="H511" s="358"/>
      <c r="M511" s="337"/>
    </row>
    <row r="512" spans="4:13" s="338" customFormat="1">
      <c r="D512" s="386"/>
      <c r="E512" s="386"/>
      <c r="F512" s="336"/>
      <c r="G512" s="381"/>
      <c r="H512" s="358"/>
      <c r="M512" s="337"/>
    </row>
    <row r="513" spans="4:13" s="338" customFormat="1">
      <c r="D513" s="386"/>
      <c r="E513" s="386"/>
      <c r="F513" s="336"/>
      <c r="G513" s="381"/>
      <c r="H513" s="358"/>
      <c r="M513" s="337"/>
    </row>
    <row r="514" spans="4:13" s="338" customFormat="1">
      <c r="D514" s="386"/>
      <c r="E514" s="386"/>
      <c r="F514" s="336"/>
      <c r="G514" s="381"/>
      <c r="H514" s="358"/>
      <c r="M514" s="337"/>
    </row>
    <row r="515" spans="4:13" s="338" customFormat="1">
      <c r="D515" s="386"/>
      <c r="E515" s="386"/>
      <c r="F515" s="336"/>
      <c r="G515" s="381"/>
      <c r="H515" s="358"/>
      <c r="M515" s="337"/>
    </row>
    <row r="516" spans="4:13" s="338" customFormat="1">
      <c r="D516" s="386"/>
      <c r="E516" s="386"/>
      <c r="F516" s="336"/>
      <c r="G516" s="381"/>
      <c r="H516" s="358"/>
      <c r="M516" s="337"/>
    </row>
    <row r="517" spans="4:13" s="338" customFormat="1">
      <c r="D517" s="386"/>
      <c r="E517" s="386"/>
      <c r="F517" s="336"/>
      <c r="G517" s="381"/>
      <c r="H517" s="358"/>
      <c r="M517" s="337"/>
    </row>
    <row r="518" spans="4:13" s="338" customFormat="1">
      <c r="D518" s="386"/>
      <c r="E518" s="386"/>
      <c r="F518" s="336"/>
      <c r="G518" s="381"/>
      <c r="H518" s="358"/>
      <c r="M518" s="337"/>
    </row>
    <row r="519" spans="4:13" s="338" customFormat="1">
      <c r="D519" s="386"/>
      <c r="E519" s="386"/>
      <c r="F519" s="336"/>
      <c r="G519" s="381"/>
      <c r="H519" s="358"/>
      <c r="M519" s="337"/>
    </row>
    <row r="520" spans="4:13" s="338" customFormat="1">
      <c r="D520" s="386"/>
      <c r="E520" s="386"/>
      <c r="F520" s="336"/>
      <c r="G520" s="381"/>
      <c r="H520" s="358"/>
      <c r="M520" s="337"/>
    </row>
    <row r="521" spans="4:13" s="338" customFormat="1">
      <c r="D521" s="386"/>
      <c r="E521" s="386"/>
      <c r="F521" s="336"/>
      <c r="G521" s="381"/>
      <c r="H521" s="358"/>
      <c r="M521" s="337"/>
    </row>
    <row r="522" spans="4:13" s="338" customFormat="1">
      <c r="D522" s="386"/>
      <c r="E522" s="386"/>
      <c r="F522" s="336"/>
      <c r="G522" s="381"/>
      <c r="H522" s="358"/>
      <c r="M522" s="337"/>
    </row>
    <row r="523" spans="4:13" s="338" customFormat="1">
      <c r="D523" s="386"/>
      <c r="E523" s="386"/>
      <c r="F523" s="336"/>
      <c r="G523" s="381"/>
      <c r="H523" s="358"/>
      <c r="M523" s="337"/>
    </row>
    <row r="524" spans="4:13" s="338" customFormat="1">
      <c r="D524" s="386"/>
      <c r="E524" s="386"/>
      <c r="F524" s="336"/>
      <c r="G524" s="381"/>
      <c r="H524" s="358"/>
      <c r="M524" s="337"/>
    </row>
    <row r="525" spans="4:13" s="338" customFormat="1">
      <c r="D525" s="386"/>
      <c r="E525" s="386"/>
      <c r="F525" s="336"/>
      <c r="G525" s="381"/>
      <c r="H525" s="358"/>
      <c r="M525" s="337"/>
    </row>
    <row r="526" spans="4:13" s="338" customFormat="1">
      <c r="D526" s="386"/>
      <c r="E526" s="386"/>
      <c r="F526" s="336"/>
      <c r="G526" s="381"/>
      <c r="H526" s="358"/>
      <c r="M526" s="337"/>
    </row>
    <row r="527" spans="4:13" s="338" customFormat="1">
      <c r="D527" s="386"/>
      <c r="E527" s="386"/>
      <c r="F527" s="336"/>
      <c r="G527" s="381"/>
      <c r="H527" s="358"/>
      <c r="M527" s="337"/>
    </row>
    <row r="528" spans="4:13" s="338" customFormat="1">
      <c r="D528" s="386"/>
      <c r="E528" s="386"/>
      <c r="F528" s="336"/>
      <c r="G528" s="381"/>
      <c r="H528" s="358"/>
      <c r="M528" s="337"/>
    </row>
    <row r="529" spans="4:13" s="338" customFormat="1">
      <c r="D529" s="386"/>
      <c r="E529" s="386"/>
      <c r="F529" s="336"/>
      <c r="G529" s="381"/>
      <c r="H529" s="358"/>
      <c r="M529" s="337"/>
    </row>
    <row r="530" spans="4:13" s="338" customFormat="1">
      <c r="D530" s="386"/>
      <c r="E530" s="386"/>
      <c r="F530" s="336"/>
      <c r="G530" s="381"/>
      <c r="H530" s="358"/>
      <c r="M530" s="337"/>
    </row>
    <row r="531" spans="4:13" s="338" customFormat="1">
      <c r="D531" s="386"/>
      <c r="E531" s="386"/>
      <c r="F531" s="336"/>
      <c r="G531" s="381"/>
      <c r="H531" s="358"/>
      <c r="M531" s="337"/>
    </row>
    <row r="532" spans="4:13" s="338" customFormat="1">
      <c r="D532" s="386"/>
      <c r="E532" s="386"/>
      <c r="F532" s="336"/>
      <c r="G532" s="381"/>
      <c r="H532" s="358"/>
      <c r="M532" s="337"/>
    </row>
    <row r="533" spans="4:13" s="338" customFormat="1">
      <c r="D533" s="386"/>
      <c r="E533" s="386"/>
      <c r="F533" s="336"/>
      <c r="G533" s="381"/>
      <c r="H533" s="358"/>
      <c r="M533" s="337"/>
    </row>
    <row r="534" spans="4:13" s="338" customFormat="1">
      <c r="D534" s="386"/>
      <c r="E534" s="386"/>
      <c r="F534" s="336"/>
      <c r="G534" s="381"/>
      <c r="H534" s="358"/>
      <c r="M534" s="337"/>
    </row>
    <row r="535" spans="4:13" s="338" customFormat="1">
      <c r="D535" s="386"/>
      <c r="E535" s="386"/>
      <c r="F535" s="336"/>
      <c r="G535" s="381"/>
      <c r="H535" s="358"/>
      <c r="M535" s="337"/>
    </row>
    <row r="536" spans="4:13" s="338" customFormat="1">
      <c r="D536" s="386"/>
      <c r="E536" s="386"/>
      <c r="F536" s="336"/>
      <c r="G536" s="381"/>
      <c r="H536" s="358"/>
      <c r="M536" s="337"/>
    </row>
    <row r="537" spans="4:13" s="338" customFormat="1">
      <c r="D537" s="386"/>
      <c r="E537" s="386"/>
      <c r="F537" s="336"/>
      <c r="G537" s="381"/>
      <c r="H537" s="358"/>
      <c r="M537" s="337"/>
    </row>
    <row r="538" spans="4:13" s="338" customFormat="1">
      <c r="D538" s="386"/>
      <c r="E538" s="386"/>
      <c r="F538" s="336"/>
      <c r="G538" s="381"/>
      <c r="H538" s="358"/>
      <c r="M538" s="337"/>
    </row>
    <row r="539" spans="4:13" s="338" customFormat="1">
      <c r="D539" s="386"/>
      <c r="E539" s="386"/>
      <c r="F539" s="336"/>
      <c r="G539" s="381"/>
      <c r="H539" s="358"/>
      <c r="M539" s="337"/>
    </row>
    <row r="540" spans="4:13" s="338" customFormat="1">
      <c r="D540" s="386"/>
      <c r="E540" s="386"/>
      <c r="F540" s="336"/>
      <c r="G540" s="381"/>
      <c r="H540" s="358"/>
      <c r="M540" s="337"/>
    </row>
    <row r="541" spans="4:13" s="338" customFormat="1">
      <c r="D541" s="386"/>
      <c r="E541" s="386"/>
      <c r="F541" s="336"/>
      <c r="G541" s="381"/>
      <c r="H541" s="358"/>
      <c r="M541" s="337"/>
    </row>
    <row r="542" spans="4:13" s="338" customFormat="1">
      <c r="D542" s="386"/>
      <c r="E542" s="386"/>
      <c r="F542" s="336"/>
      <c r="G542" s="381"/>
      <c r="H542" s="358"/>
      <c r="M542" s="337"/>
    </row>
    <row r="543" spans="4:13" s="338" customFormat="1">
      <c r="D543" s="386"/>
      <c r="E543" s="386"/>
      <c r="F543" s="336"/>
      <c r="G543" s="381"/>
      <c r="H543" s="358"/>
      <c r="M543" s="337"/>
    </row>
    <row r="544" spans="4:13" s="338" customFormat="1">
      <c r="D544" s="386"/>
      <c r="E544" s="386"/>
      <c r="F544" s="336"/>
      <c r="G544" s="381"/>
      <c r="H544" s="358"/>
      <c r="M544" s="337"/>
    </row>
    <row r="545" spans="4:13" s="338" customFormat="1">
      <c r="D545" s="386"/>
      <c r="E545" s="386"/>
      <c r="F545" s="336"/>
      <c r="G545" s="381"/>
      <c r="H545" s="358"/>
      <c r="M545" s="337"/>
    </row>
    <row r="546" spans="4:13" s="338" customFormat="1">
      <c r="D546" s="386"/>
      <c r="E546" s="386"/>
      <c r="F546" s="336"/>
      <c r="G546" s="381"/>
      <c r="H546" s="358"/>
      <c r="M546" s="337"/>
    </row>
    <row r="547" spans="4:13" s="338" customFormat="1">
      <c r="D547" s="386"/>
      <c r="E547" s="386"/>
      <c r="F547" s="336"/>
      <c r="G547" s="381"/>
      <c r="H547" s="358"/>
      <c r="M547" s="337"/>
    </row>
    <row r="548" spans="4:13" s="338" customFormat="1">
      <c r="D548" s="386"/>
      <c r="E548" s="386"/>
      <c r="F548" s="336"/>
      <c r="G548" s="381"/>
      <c r="H548" s="358"/>
      <c r="M548" s="337"/>
    </row>
    <row r="549" spans="4:13" s="338" customFormat="1">
      <c r="D549" s="386"/>
      <c r="E549" s="386"/>
      <c r="F549" s="336"/>
      <c r="G549" s="381"/>
      <c r="H549" s="358"/>
      <c r="M549" s="337"/>
    </row>
    <row r="550" spans="4:13" s="338" customFormat="1">
      <c r="D550" s="386"/>
      <c r="E550" s="386"/>
      <c r="F550" s="336"/>
      <c r="G550" s="381"/>
      <c r="H550" s="358"/>
      <c r="M550" s="337"/>
    </row>
    <row r="551" spans="4:13" s="338" customFormat="1">
      <c r="D551" s="386"/>
      <c r="E551" s="386"/>
      <c r="F551" s="336"/>
      <c r="G551" s="381"/>
      <c r="H551" s="358"/>
      <c r="M551" s="337"/>
    </row>
    <row r="552" spans="4:13" s="338" customFormat="1">
      <c r="D552" s="386"/>
      <c r="E552" s="386"/>
      <c r="F552" s="336"/>
      <c r="G552" s="381"/>
      <c r="H552" s="358"/>
      <c r="M552" s="337"/>
    </row>
    <row r="553" spans="4:13" s="338" customFormat="1">
      <c r="D553" s="386"/>
      <c r="E553" s="386"/>
      <c r="F553" s="336"/>
      <c r="G553" s="381"/>
      <c r="H553" s="358"/>
      <c r="M553" s="337"/>
    </row>
    <row r="554" spans="4:13" s="338" customFormat="1">
      <c r="D554" s="386"/>
      <c r="E554" s="386"/>
      <c r="F554" s="336"/>
      <c r="G554" s="381"/>
      <c r="H554" s="358"/>
      <c r="M554" s="337"/>
    </row>
    <row r="555" spans="4:13" s="338" customFormat="1">
      <c r="D555" s="386"/>
      <c r="E555" s="386"/>
      <c r="F555" s="336"/>
      <c r="G555" s="381"/>
      <c r="H555" s="358"/>
      <c r="M555" s="337"/>
    </row>
    <row r="556" spans="4:13" s="338" customFormat="1">
      <c r="D556" s="386"/>
      <c r="E556" s="386"/>
      <c r="F556" s="336"/>
      <c r="G556" s="381"/>
      <c r="H556" s="358"/>
      <c r="M556" s="337"/>
    </row>
    <row r="557" spans="4:13" s="338" customFormat="1">
      <c r="D557" s="386"/>
      <c r="E557" s="386"/>
      <c r="F557" s="336"/>
      <c r="G557" s="381"/>
      <c r="H557" s="358"/>
      <c r="M557" s="337"/>
    </row>
    <row r="558" spans="4:13" s="338" customFormat="1">
      <c r="D558" s="386"/>
      <c r="E558" s="386"/>
      <c r="F558" s="336"/>
      <c r="G558" s="381"/>
      <c r="H558" s="358"/>
      <c r="M558" s="337"/>
    </row>
    <row r="559" spans="4:13" s="338" customFormat="1">
      <c r="D559" s="386"/>
      <c r="E559" s="386"/>
      <c r="F559" s="336"/>
      <c r="G559" s="381"/>
      <c r="H559" s="358"/>
      <c r="M559" s="337"/>
    </row>
    <row r="560" spans="4:13" s="338" customFormat="1">
      <c r="D560" s="386"/>
      <c r="E560" s="386"/>
      <c r="F560" s="336"/>
      <c r="G560" s="381"/>
      <c r="H560" s="358"/>
      <c r="M560" s="337"/>
    </row>
    <row r="561" spans="4:13" s="338" customFormat="1">
      <c r="D561" s="386"/>
      <c r="E561" s="386"/>
      <c r="F561" s="336"/>
      <c r="G561" s="381"/>
      <c r="H561" s="358"/>
      <c r="M561" s="337"/>
    </row>
    <row r="562" spans="4:13" s="338" customFormat="1">
      <c r="D562" s="386"/>
      <c r="E562" s="386"/>
      <c r="F562" s="336"/>
      <c r="G562" s="381"/>
      <c r="H562" s="358"/>
      <c r="M562" s="337"/>
    </row>
    <row r="563" spans="4:13" s="338" customFormat="1">
      <c r="D563" s="386"/>
      <c r="E563" s="386"/>
      <c r="F563" s="336"/>
      <c r="G563" s="381"/>
      <c r="H563" s="358"/>
      <c r="M563" s="337"/>
    </row>
    <row r="564" spans="4:13" s="338" customFormat="1">
      <c r="D564" s="386"/>
      <c r="E564" s="386"/>
      <c r="F564" s="336"/>
      <c r="G564" s="381"/>
      <c r="H564" s="358"/>
      <c r="M564" s="337"/>
    </row>
    <row r="565" spans="4:13" s="338" customFormat="1">
      <c r="D565" s="386"/>
      <c r="E565" s="386"/>
      <c r="F565" s="336"/>
      <c r="G565" s="381"/>
      <c r="H565" s="358"/>
      <c r="M565" s="337"/>
    </row>
    <row r="566" spans="4:13" s="338" customFormat="1">
      <c r="D566" s="386"/>
      <c r="E566" s="386"/>
      <c r="F566" s="336"/>
      <c r="G566" s="381"/>
      <c r="H566" s="358"/>
      <c r="M566" s="337"/>
    </row>
    <row r="567" spans="4:13" s="338" customFormat="1">
      <c r="D567" s="386"/>
      <c r="E567" s="386"/>
      <c r="F567" s="336"/>
      <c r="G567" s="381"/>
      <c r="H567" s="358"/>
      <c r="M567" s="337"/>
    </row>
    <row r="568" spans="4:13" s="338" customFormat="1">
      <c r="D568" s="386"/>
      <c r="E568" s="386"/>
      <c r="F568" s="336"/>
      <c r="G568" s="381"/>
      <c r="H568" s="358"/>
      <c r="M568" s="337"/>
    </row>
    <row r="569" spans="4:13" s="338" customFormat="1">
      <c r="D569" s="386"/>
      <c r="E569" s="386"/>
      <c r="F569" s="336"/>
      <c r="G569" s="381"/>
      <c r="H569" s="358"/>
      <c r="M569" s="337"/>
    </row>
    <row r="570" spans="4:13" s="338" customFormat="1">
      <c r="D570" s="386"/>
      <c r="E570" s="386"/>
      <c r="F570" s="336"/>
      <c r="G570" s="381"/>
      <c r="H570" s="358"/>
      <c r="M570" s="337"/>
    </row>
    <row r="571" spans="4:13" s="338" customFormat="1">
      <c r="D571" s="386"/>
      <c r="E571" s="386"/>
      <c r="F571" s="336"/>
      <c r="G571" s="381"/>
      <c r="H571" s="358"/>
      <c r="M571" s="337"/>
    </row>
    <row r="572" spans="4:13" s="338" customFormat="1">
      <c r="D572" s="386"/>
      <c r="E572" s="386"/>
      <c r="F572" s="336"/>
      <c r="G572" s="381"/>
      <c r="H572" s="358"/>
      <c r="M572" s="337"/>
    </row>
    <row r="573" spans="4:13" s="338" customFormat="1">
      <c r="D573" s="386"/>
      <c r="E573" s="386"/>
      <c r="F573" s="336"/>
      <c r="G573" s="381"/>
      <c r="H573" s="358"/>
      <c r="M573" s="337"/>
    </row>
    <row r="574" spans="4:13" s="338" customFormat="1">
      <c r="D574" s="386"/>
      <c r="E574" s="386"/>
      <c r="F574" s="336"/>
      <c r="G574" s="381"/>
      <c r="H574" s="358"/>
      <c r="M574" s="337"/>
    </row>
    <row r="575" spans="4:13" s="338" customFormat="1">
      <c r="D575" s="386"/>
      <c r="E575" s="386"/>
      <c r="F575" s="336"/>
      <c r="G575" s="381"/>
      <c r="H575" s="358"/>
      <c r="M575" s="337"/>
    </row>
    <row r="576" spans="4:13" s="338" customFormat="1">
      <c r="D576" s="386"/>
      <c r="E576" s="386"/>
      <c r="F576" s="336"/>
      <c r="G576" s="381"/>
      <c r="H576" s="358"/>
      <c r="M576" s="337"/>
    </row>
    <row r="577" spans="1:55" s="338" customFormat="1">
      <c r="D577" s="386"/>
      <c r="E577" s="386"/>
      <c r="F577" s="336"/>
      <c r="G577" s="381"/>
      <c r="H577" s="358"/>
      <c r="M577" s="337"/>
    </row>
    <row r="578" spans="1:55" s="338" customFormat="1">
      <c r="D578" s="386"/>
      <c r="E578" s="386"/>
      <c r="F578" s="336"/>
      <c r="G578" s="381"/>
      <c r="H578" s="358"/>
      <c r="M578" s="337"/>
    </row>
    <row r="579" spans="1:55" s="338" customFormat="1">
      <c r="D579" s="386"/>
      <c r="E579" s="386"/>
      <c r="F579" s="336"/>
      <c r="G579" s="381"/>
      <c r="H579" s="358"/>
      <c r="M579" s="337"/>
    </row>
    <row r="580" spans="1:55" s="338" customFormat="1">
      <c r="D580" s="386"/>
      <c r="E580" s="386"/>
      <c r="F580" s="336"/>
      <c r="G580" s="381"/>
      <c r="H580" s="358"/>
      <c r="M580" s="337"/>
    </row>
    <row r="581" spans="1:55" s="338" customFormat="1">
      <c r="D581" s="386"/>
      <c r="E581" s="386"/>
      <c r="F581" s="336"/>
      <c r="G581" s="381"/>
      <c r="H581" s="358"/>
      <c r="M581" s="337"/>
    </row>
    <row r="582" spans="1:55" s="338" customFormat="1">
      <c r="D582" s="386"/>
      <c r="E582" s="386"/>
      <c r="F582" s="336"/>
      <c r="G582" s="381"/>
      <c r="H582" s="358"/>
      <c r="M582" s="337"/>
    </row>
    <row r="583" spans="1:55" s="338" customFormat="1">
      <c r="D583" s="386"/>
      <c r="E583" s="386"/>
      <c r="F583" s="336"/>
      <c r="G583" s="381"/>
      <c r="H583" s="358"/>
      <c r="M583" s="337"/>
    </row>
    <row r="584" spans="1:55" s="338" customFormat="1">
      <c r="D584" s="386"/>
      <c r="E584" s="386"/>
      <c r="F584" s="336"/>
      <c r="G584" s="381"/>
      <c r="H584" s="358"/>
      <c r="I584" s="339"/>
      <c r="J584" s="339"/>
      <c r="K584" s="339"/>
      <c r="L584" s="339"/>
      <c r="M584" s="337"/>
    </row>
    <row r="585" spans="1:55" s="338" customFormat="1">
      <c r="D585" s="386"/>
      <c r="E585" s="386"/>
      <c r="F585" s="336"/>
      <c r="G585" s="381"/>
      <c r="H585" s="358"/>
      <c r="I585" s="339"/>
      <c r="J585" s="339"/>
      <c r="K585" s="339"/>
      <c r="L585" s="339"/>
      <c r="M585" s="337"/>
    </row>
    <row r="586" spans="1:55" s="338" customFormat="1">
      <c r="A586" s="339"/>
      <c r="B586" s="339"/>
      <c r="C586" s="339"/>
      <c r="D586" s="387"/>
      <c r="E586" s="387"/>
      <c r="F586" s="336"/>
      <c r="G586" s="381"/>
      <c r="H586" s="358"/>
      <c r="I586" s="339"/>
      <c r="J586" s="339"/>
      <c r="K586" s="339"/>
      <c r="L586" s="339"/>
      <c r="M586" s="337"/>
    </row>
    <row r="587" spans="1:55">
      <c r="N587" s="338"/>
      <c r="O587" s="338"/>
      <c r="P587" s="338"/>
      <c r="Q587" s="338"/>
      <c r="R587" s="339"/>
      <c r="S587" s="339"/>
      <c r="T587" s="339"/>
      <c r="U587" s="339"/>
      <c r="V587" s="339"/>
      <c r="W587" s="339"/>
      <c r="X587" s="339"/>
      <c r="Y587" s="339"/>
      <c r="Z587" s="339"/>
      <c r="AA587" s="339"/>
      <c r="AB587" s="339"/>
      <c r="AC587" s="339"/>
      <c r="AD587" s="339"/>
      <c r="AE587" s="339"/>
      <c r="AF587" s="339"/>
      <c r="AG587" s="339"/>
      <c r="AH587" s="339"/>
      <c r="AI587" s="339"/>
      <c r="AJ587" s="339"/>
      <c r="AK587" s="339"/>
      <c r="AL587" s="339"/>
      <c r="AM587" s="339"/>
      <c r="AN587" s="339"/>
      <c r="AO587" s="339"/>
      <c r="AP587" s="339"/>
      <c r="AQ587" s="339"/>
      <c r="AR587" s="339"/>
      <c r="AS587" s="339"/>
      <c r="AT587" s="339"/>
      <c r="AU587" s="339"/>
      <c r="AV587" s="339"/>
      <c r="AW587" s="339"/>
      <c r="AX587" s="339"/>
      <c r="AY587" s="339"/>
      <c r="AZ587" s="339"/>
      <c r="BA587" s="339"/>
      <c r="BB587" s="339"/>
      <c r="BC587" s="339"/>
    </row>
  </sheetData>
  <mergeCells count="39">
    <mergeCell ref="A8:A10"/>
    <mergeCell ref="A45:A47"/>
    <mergeCell ref="A41:A44"/>
    <mergeCell ref="A39:A40"/>
    <mergeCell ref="A37:A38"/>
    <mergeCell ref="A13:A36"/>
    <mergeCell ref="N6:O6"/>
    <mergeCell ref="P6:Q6"/>
    <mergeCell ref="H38:H39"/>
    <mergeCell ref="K6:L6"/>
    <mergeCell ref="H8:H10"/>
    <mergeCell ref="H13:H36"/>
    <mergeCell ref="D6:E6"/>
    <mergeCell ref="G6:J6"/>
    <mergeCell ref="H44:H46"/>
    <mergeCell ref="H47:H49"/>
    <mergeCell ref="H40:H43"/>
    <mergeCell ref="G8:G10"/>
    <mergeCell ref="G13:G36"/>
    <mergeCell ref="G38:G39"/>
    <mergeCell ref="G40:G43"/>
    <mergeCell ref="G44:G46"/>
    <mergeCell ref="G47:G49"/>
    <mergeCell ref="G64:G72"/>
    <mergeCell ref="G73:G75"/>
    <mergeCell ref="G76:G79"/>
    <mergeCell ref="A56:A65"/>
    <mergeCell ref="H50:H53"/>
    <mergeCell ref="H64:H72"/>
    <mergeCell ref="G50:G53"/>
    <mergeCell ref="G54:G63"/>
    <mergeCell ref="H73:H75"/>
    <mergeCell ref="H76:H79"/>
    <mergeCell ref="H54:H63"/>
    <mergeCell ref="A66:A74"/>
    <mergeCell ref="A75:A78"/>
    <mergeCell ref="A79:A80"/>
    <mergeCell ref="A51:A55"/>
    <mergeCell ref="A48:A50"/>
  </mergeCells>
  <phoneticPr fontId="53" type="noConversion"/>
  <conditionalFormatting sqref="C3">
    <cfRule type="expression" dxfId="60" priority="2">
      <formula>ISTEXT(C3)</formula>
    </cfRule>
  </conditionalFormatting>
  <conditionalFormatting sqref="D8:E52 D56:E80">
    <cfRule type="expression" dxfId="59" priority="1">
      <formula>ISNUMBER(D8)</formula>
    </cfRule>
  </conditionalFormatting>
  <dataValidations count="1">
    <dataValidation type="list" allowBlank="1" showInputMessage="1" showErrorMessage="1" sqref="C3">
      <formula1>"Yes, No"</formula1>
    </dataValidation>
  </dataValidations>
  <hyperlinks>
    <hyperlink ref="B4" location="Instructions_to_users" display="Instructions to users (hyperlink)"/>
  </hyperlinks>
  <pageMargins left="0.25" right="0.25" top="0.75" bottom="0.75" header="0.3" footer="0.3"/>
  <pageSetup paperSize="9" scale="80" fitToWidth="0" orientation="portrait" r:id="rId1"/>
  <legacyDrawing r:id="rId2"/>
</worksheet>
</file>

<file path=xl/worksheets/sheet7.xml><?xml version="1.0" encoding="utf-8"?>
<worksheet xmlns="http://schemas.openxmlformats.org/spreadsheetml/2006/main" xmlns:r="http://schemas.openxmlformats.org/officeDocument/2006/relationships">
  <sheetPr>
    <tabColor rgb="FF00B050"/>
  </sheetPr>
  <dimension ref="A1:X102"/>
  <sheetViews>
    <sheetView zoomScale="80" zoomScaleNormal="80" workbookViewId="0">
      <pane ySplit="7" topLeftCell="A8" activePane="bottomLeft" state="frozen"/>
      <selection activeCell="E62" sqref="E62"/>
      <selection pane="bottomLeft" activeCell="A8" sqref="A8:A10"/>
    </sheetView>
  </sheetViews>
  <sheetFormatPr defaultRowHeight="12.75"/>
  <cols>
    <col min="1" max="1" width="5.7109375" style="196" customWidth="1"/>
    <col min="2" max="2" width="97.5703125" style="196" customWidth="1"/>
    <col min="3" max="3" width="11.28515625" style="196" customWidth="1"/>
    <col min="4" max="4" width="10.85546875" style="232" customWidth="1"/>
    <col min="5" max="5" width="10.5703125" style="232" customWidth="1"/>
    <col min="6" max="6" width="8.7109375" style="232" customWidth="1"/>
    <col min="7" max="7" width="7.7109375" style="195" customWidth="1"/>
    <col min="8" max="8" width="20.5703125" style="196" customWidth="1"/>
    <col min="9" max="9" width="9.140625" style="196"/>
    <col min="10" max="10" width="91.5703125" style="196" customWidth="1"/>
    <col min="11" max="11" width="11.42578125" style="196" customWidth="1"/>
    <col min="12" max="12" width="10.28515625" style="196" customWidth="1"/>
    <col min="13" max="13" width="8.7109375" style="232" customWidth="1"/>
    <col min="14" max="14" width="9.7109375" style="196" bestFit="1" customWidth="1"/>
    <col min="15" max="15" width="68.5703125" style="196" bestFit="1" customWidth="1"/>
    <col min="16" max="16" width="9.85546875" style="196" customWidth="1"/>
    <col min="17" max="17" width="10.42578125" style="196" customWidth="1"/>
    <col min="18" max="16384" width="9.140625" style="196"/>
  </cols>
  <sheetData>
    <row r="1" spans="1:24" s="390" customFormat="1" ht="21">
      <c r="A1" s="389" t="s">
        <v>795</v>
      </c>
      <c r="E1" s="391"/>
      <c r="F1" s="391"/>
      <c r="G1" s="391"/>
      <c r="H1" s="391"/>
      <c r="I1" s="391"/>
      <c r="J1" s="392"/>
      <c r="K1" s="393"/>
      <c r="L1" s="393"/>
      <c r="M1" s="393"/>
      <c r="N1" s="392"/>
      <c r="O1" s="393"/>
      <c r="V1" s="391"/>
      <c r="W1" s="394"/>
      <c r="X1" s="394"/>
    </row>
    <row r="2" spans="1:24" s="207" customFormat="1" ht="15">
      <c r="A2" s="47" t="s">
        <v>629</v>
      </c>
      <c r="E2" s="395" t="s">
        <v>400</v>
      </c>
      <c r="F2" s="209"/>
      <c r="G2" s="210" t="s">
        <v>444</v>
      </c>
      <c r="H2" s="130"/>
      <c r="I2" s="55"/>
      <c r="J2" s="55"/>
      <c r="K2" s="55"/>
      <c r="M2" s="53"/>
      <c r="N2" s="211"/>
      <c r="P2" s="56"/>
      <c r="Q2" s="56"/>
      <c r="R2" s="56"/>
      <c r="V2" s="53"/>
    </row>
    <row r="3" spans="1:24" s="207" customFormat="1" ht="18.75">
      <c r="A3" s="47"/>
      <c r="B3" s="213"/>
      <c r="E3" s="130"/>
      <c r="F3" s="215"/>
      <c r="G3" s="210" t="s">
        <v>445</v>
      </c>
      <c r="H3" s="130"/>
      <c r="I3" s="53"/>
      <c r="J3" s="211"/>
      <c r="M3" s="53"/>
      <c r="N3" s="211"/>
      <c r="V3" s="53"/>
    </row>
    <row r="4" spans="1:24" s="207" customFormat="1" ht="15">
      <c r="B4" s="61" t="s">
        <v>866</v>
      </c>
      <c r="E4" s="130"/>
      <c r="F4" s="216"/>
      <c r="G4" s="210" t="s">
        <v>851</v>
      </c>
      <c r="H4" s="130"/>
      <c r="I4" s="53"/>
      <c r="J4" s="211"/>
      <c r="M4" s="53"/>
      <c r="N4" s="211"/>
      <c r="P4" s="63"/>
      <c r="Q4" s="63"/>
      <c r="R4" s="63"/>
      <c r="V4" s="53"/>
    </row>
    <row r="5" spans="1:24" s="207" customFormat="1" ht="15.75">
      <c r="B5" s="212"/>
      <c r="E5" s="130"/>
      <c r="F5" s="396"/>
      <c r="G5" s="214" t="s">
        <v>852</v>
      </c>
      <c r="H5" s="130"/>
      <c r="I5" s="53"/>
      <c r="J5" s="211"/>
      <c r="M5" s="53"/>
      <c r="N5" s="211"/>
      <c r="P5" s="63"/>
      <c r="Q5" s="63"/>
      <c r="R5" s="63"/>
      <c r="V5" s="53"/>
    </row>
    <row r="6" spans="1:24" ht="15" customHeight="1">
      <c r="A6" s="397" t="s">
        <v>630</v>
      </c>
      <c r="B6" s="398"/>
      <c r="C6" s="398"/>
      <c r="D6" s="980"/>
      <c r="E6" s="981"/>
      <c r="F6" s="399"/>
      <c r="G6" s="887" t="s">
        <v>402</v>
      </c>
      <c r="H6" s="925"/>
      <c r="I6" s="925"/>
      <c r="J6" s="914"/>
      <c r="K6" s="889" t="s">
        <v>401</v>
      </c>
      <c r="L6" s="890"/>
      <c r="M6" s="229"/>
      <c r="N6" s="881" t="s">
        <v>403</v>
      </c>
      <c r="O6" s="914"/>
      <c r="P6" s="883" t="s">
        <v>401</v>
      </c>
      <c r="Q6" s="884"/>
    </row>
    <row r="7" spans="1:24" ht="52.5" customHeight="1">
      <c r="A7" s="400" t="s">
        <v>0</v>
      </c>
      <c r="B7" s="401" t="s">
        <v>1</v>
      </c>
      <c r="C7" s="402" t="s">
        <v>2</v>
      </c>
      <c r="D7" s="403" t="s">
        <v>668</v>
      </c>
      <c r="E7" s="403" t="s">
        <v>669</v>
      </c>
      <c r="F7" s="404"/>
      <c r="G7" s="75" t="s">
        <v>781</v>
      </c>
      <c r="H7" s="76" t="s">
        <v>409</v>
      </c>
      <c r="I7" s="77" t="s">
        <v>782</v>
      </c>
      <c r="J7" s="76" t="s">
        <v>404</v>
      </c>
      <c r="K7" s="78" t="s">
        <v>668</v>
      </c>
      <c r="L7" s="78" t="s">
        <v>669</v>
      </c>
      <c r="M7" s="405"/>
      <c r="N7" s="79" t="s">
        <v>0</v>
      </c>
      <c r="O7" s="80" t="s">
        <v>406</v>
      </c>
      <c r="P7" s="81" t="s">
        <v>668</v>
      </c>
      <c r="Q7" s="81" t="s">
        <v>669</v>
      </c>
    </row>
    <row r="8" spans="1:24" ht="15" customHeight="1">
      <c r="A8" s="900" t="s">
        <v>3</v>
      </c>
      <c r="B8" s="406" t="s">
        <v>79</v>
      </c>
      <c r="C8" s="407" t="s">
        <v>4</v>
      </c>
      <c r="D8" s="36"/>
      <c r="E8" s="36"/>
      <c r="F8" s="231"/>
      <c r="G8" s="900" t="s">
        <v>3</v>
      </c>
      <c r="H8" s="915" t="s">
        <v>137</v>
      </c>
      <c r="I8" s="172" t="s">
        <v>4</v>
      </c>
      <c r="J8" s="176" t="s">
        <v>79</v>
      </c>
      <c r="K8" s="35" t="str">
        <f t="shared" ref="K8:L10" si="0">IF(ISNUMBER(D8),D8,"")</f>
        <v/>
      </c>
      <c r="L8" s="35" t="str">
        <f t="shared" si="0"/>
        <v/>
      </c>
      <c r="M8" s="226"/>
      <c r="N8" s="408" t="s">
        <v>324</v>
      </c>
      <c r="O8" s="87" t="s">
        <v>325</v>
      </c>
      <c r="P8" s="29">
        <f>K73</f>
        <v>20.149999999999999</v>
      </c>
      <c r="Q8" s="29">
        <f>L73</f>
        <v>3.6</v>
      </c>
    </row>
    <row r="9" spans="1:24" ht="15">
      <c r="A9" s="901"/>
      <c r="B9" s="406" t="s">
        <v>139</v>
      </c>
      <c r="C9" s="407" t="s">
        <v>138</v>
      </c>
      <c r="D9" s="36"/>
      <c r="E9" s="36"/>
      <c r="F9" s="231"/>
      <c r="G9" s="901"/>
      <c r="H9" s="916"/>
      <c r="I9" s="172" t="s">
        <v>138</v>
      </c>
      <c r="J9" s="176" t="s">
        <v>139</v>
      </c>
      <c r="K9" s="35" t="str">
        <f t="shared" si="0"/>
        <v/>
      </c>
      <c r="L9" s="35" t="str">
        <f t="shared" si="0"/>
        <v/>
      </c>
      <c r="M9" s="226"/>
      <c r="N9" s="408" t="s">
        <v>326</v>
      </c>
      <c r="O9" s="87" t="s">
        <v>327</v>
      </c>
      <c r="P9" s="29" t="str">
        <f>K75</f>
        <v/>
      </c>
      <c r="Q9" s="29" t="str">
        <f>L75</f>
        <v/>
      </c>
    </row>
    <row r="10" spans="1:24" ht="15">
      <c r="A10" s="918"/>
      <c r="B10" s="406" t="s">
        <v>80</v>
      </c>
      <c r="C10" s="407" t="s">
        <v>81</v>
      </c>
      <c r="D10" s="36"/>
      <c r="E10" s="36"/>
      <c r="F10" s="231"/>
      <c r="G10" s="902"/>
      <c r="H10" s="917"/>
      <c r="I10" s="172" t="s">
        <v>81</v>
      </c>
      <c r="J10" s="176" t="s">
        <v>80</v>
      </c>
      <c r="K10" s="35" t="str">
        <f t="shared" si="0"/>
        <v/>
      </c>
      <c r="L10" s="35" t="str">
        <f t="shared" si="0"/>
        <v/>
      </c>
      <c r="M10" s="226"/>
      <c r="N10" s="408" t="s">
        <v>328</v>
      </c>
      <c r="O10" s="87" t="s">
        <v>130</v>
      </c>
      <c r="P10" s="29">
        <f>K74</f>
        <v>14.7545</v>
      </c>
      <c r="Q10" s="29">
        <f>L74</f>
        <v>7.6479999999999997</v>
      </c>
    </row>
    <row r="11" spans="1:24" ht="15">
      <c r="A11" s="175" t="s">
        <v>5</v>
      </c>
      <c r="B11" s="406" t="s">
        <v>82</v>
      </c>
      <c r="C11" s="407" t="s">
        <v>7</v>
      </c>
      <c r="D11" s="36"/>
      <c r="E11" s="36">
        <v>0.6</v>
      </c>
      <c r="F11" s="231"/>
      <c r="G11" s="175" t="s">
        <v>5</v>
      </c>
      <c r="H11" s="176" t="s">
        <v>6</v>
      </c>
      <c r="I11" s="172" t="s">
        <v>7</v>
      </c>
      <c r="J11" s="176" t="s">
        <v>82</v>
      </c>
      <c r="K11" s="35" t="str">
        <f>IF(OR(ISNUMBER(D11),ISNUMBER(D88)),SUM(D11,D88),"")</f>
        <v/>
      </c>
      <c r="L11" s="35">
        <f>IF(OR(ISNUMBER(E11),ISNUMBER(E88)),SUM(E11,E88),"")</f>
        <v>0.6</v>
      </c>
      <c r="M11" s="226"/>
      <c r="N11" s="408" t="s">
        <v>329</v>
      </c>
      <c r="O11" s="87" t="s">
        <v>330</v>
      </c>
      <c r="P11" s="29" t="str">
        <f>K44</f>
        <v/>
      </c>
      <c r="Q11" s="29" t="str">
        <f>L43</f>
        <v/>
      </c>
    </row>
    <row r="12" spans="1:24" ht="15">
      <c r="A12" s="177" t="s">
        <v>8</v>
      </c>
      <c r="B12" s="406" t="s">
        <v>83</v>
      </c>
      <c r="C12" s="407" t="s">
        <v>9</v>
      </c>
      <c r="D12" s="36"/>
      <c r="E12" s="36">
        <v>1.6</v>
      </c>
      <c r="F12" s="231"/>
      <c r="G12" s="175" t="s">
        <v>8</v>
      </c>
      <c r="H12" s="176" t="s">
        <v>140</v>
      </c>
      <c r="I12" s="172" t="s">
        <v>9</v>
      </c>
      <c r="J12" s="176" t="s">
        <v>83</v>
      </c>
      <c r="K12" s="35" t="str">
        <f t="shared" ref="K12:K37" si="1">IF(ISNUMBER(D12),D12,"")</f>
        <v/>
      </c>
      <c r="L12" s="35">
        <f t="shared" ref="L12:L37" si="2">IF(ISNUMBER(E12),E12,"")</f>
        <v>1.6</v>
      </c>
      <c r="M12" s="226"/>
      <c r="N12" s="408" t="s">
        <v>331</v>
      </c>
      <c r="O12" s="87" t="s">
        <v>332</v>
      </c>
      <c r="P12" s="29" t="str">
        <f>K46</f>
        <v/>
      </c>
      <c r="Q12" s="29" t="str">
        <f>L45</f>
        <v/>
      </c>
    </row>
    <row r="13" spans="1:24" ht="15">
      <c r="A13" s="900" t="s">
        <v>10</v>
      </c>
      <c r="B13" s="406" t="s">
        <v>84</v>
      </c>
      <c r="C13" s="407" t="s">
        <v>12</v>
      </c>
      <c r="D13" s="36"/>
      <c r="E13" s="36"/>
      <c r="F13" s="231"/>
      <c r="G13" s="900" t="s">
        <v>10</v>
      </c>
      <c r="H13" s="903" t="s">
        <v>11</v>
      </c>
      <c r="I13" s="172" t="s">
        <v>12</v>
      </c>
      <c r="J13" s="176" t="s">
        <v>84</v>
      </c>
      <c r="K13" s="35" t="str">
        <f t="shared" si="1"/>
        <v/>
      </c>
      <c r="L13" s="35" t="str">
        <f t="shared" si="2"/>
        <v/>
      </c>
      <c r="M13" s="226"/>
      <c r="N13" s="408" t="s">
        <v>333</v>
      </c>
      <c r="O13" s="87" t="s">
        <v>334</v>
      </c>
      <c r="P13" s="29" t="str">
        <f>K43</f>
        <v/>
      </c>
      <c r="Q13" s="29">
        <f>L42</f>
        <v>3.21</v>
      </c>
    </row>
    <row r="14" spans="1:24" ht="15">
      <c r="A14" s="901"/>
      <c r="B14" s="406" t="s">
        <v>85</v>
      </c>
      <c r="C14" s="407" t="s">
        <v>13</v>
      </c>
      <c r="D14" s="36"/>
      <c r="E14" s="36"/>
      <c r="F14" s="231"/>
      <c r="G14" s="901"/>
      <c r="H14" s="904"/>
      <c r="I14" s="172" t="s">
        <v>13</v>
      </c>
      <c r="J14" s="176" t="s">
        <v>85</v>
      </c>
      <c r="K14" s="35" t="str">
        <f t="shared" si="1"/>
        <v/>
      </c>
      <c r="L14" s="35" t="str">
        <f t="shared" si="2"/>
        <v/>
      </c>
      <c r="M14" s="226"/>
      <c r="N14" s="408" t="s">
        <v>335</v>
      </c>
      <c r="O14" s="87" t="s">
        <v>336</v>
      </c>
      <c r="P14" s="29" t="str">
        <f>K9</f>
        <v/>
      </c>
      <c r="Q14" s="29" t="str">
        <f>L9</f>
        <v/>
      </c>
    </row>
    <row r="15" spans="1:24" ht="15">
      <c r="A15" s="901"/>
      <c r="B15" s="406" t="s">
        <v>86</v>
      </c>
      <c r="C15" s="407" t="s">
        <v>14</v>
      </c>
      <c r="D15" s="36">
        <v>1.5</v>
      </c>
      <c r="E15" s="36"/>
      <c r="F15" s="231"/>
      <c r="G15" s="901"/>
      <c r="H15" s="904"/>
      <c r="I15" s="172" t="s">
        <v>14</v>
      </c>
      <c r="J15" s="176" t="s">
        <v>86</v>
      </c>
      <c r="K15" s="35">
        <f t="shared" si="1"/>
        <v>1.5</v>
      </c>
      <c r="L15" s="35" t="str">
        <f t="shared" si="2"/>
        <v/>
      </c>
      <c r="M15" s="226"/>
      <c r="N15" s="408" t="s">
        <v>337</v>
      </c>
      <c r="O15" s="87" t="s">
        <v>322</v>
      </c>
      <c r="P15" s="29">
        <f t="shared" ref="P15:P16" si="3">K47</f>
        <v>17.88</v>
      </c>
      <c r="Q15" s="29" t="str">
        <f>L46</f>
        <v/>
      </c>
    </row>
    <row r="16" spans="1:24" ht="15">
      <c r="A16" s="901"/>
      <c r="B16" s="406" t="s">
        <v>87</v>
      </c>
      <c r="C16" s="407" t="s">
        <v>15</v>
      </c>
      <c r="D16" s="36"/>
      <c r="E16" s="36"/>
      <c r="F16" s="231"/>
      <c r="G16" s="901"/>
      <c r="H16" s="904"/>
      <c r="I16" s="172" t="s">
        <v>15</v>
      </c>
      <c r="J16" s="176" t="s">
        <v>87</v>
      </c>
      <c r="K16" s="35" t="str">
        <f t="shared" si="1"/>
        <v/>
      </c>
      <c r="L16" s="35" t="str">
        <f t="shared" si="2"/>
        <v/>
      </c>
      <c r="M16" s="226"/>
      <c r="N16" s="408" t="s">
        <v>338</v>
      </c>
      <c r="O16" s="87" t="s">
        <v>339</v>
      </c>
      <c r="P16" s="29">
        <f t="shared" si="3"/>
        <v>146.86000000000001</v>
      </c>
      <c r="Q16" s="29">
        <f>L47</f>
        <v>20.059999999999999</v>
      </c>
    </row>
    <row r="17" spans="1:17" ht="15">
      <c r="A17" s="901"/>
      <c r="B17" s="406" t="s">
        <v>88</v>
      </c>
      <c r="C17" s="407" t="s">
        <v>16</v>
      </c>
      <c r="D17" s="36"/>
      <c r="E17" s="36"/>
      <c r="F17" s="231"/>
      <c r="G17" s="901"/>
      <c r="H17" s="904"/>
      <c r="I17" s="172" t="s">
        <v>16</v>
      </c>
      <c r="J17" s="176" t="s">
        <v>88</v>
      </c>
      <c r="K17" s="35" t="str">
        <f t="shared" si="1"/>
        <v/>
      </c>
      <c r="L17" s="35" t="str">
        <f t="shared" si="2"/>
        <v/>
      </c>
      <c r="M17" s="226"/>
      <c r="N17" s="408" t="s">
        <v>340</v>
      </c>
      <c r="O17" s="87" t="s">
        <v>341</v>
      </c>
      <c r="P17" s="29">
        <f>K54</f>
        <v>5.0420400000000001</v>
      </c>
      <c r="Q17" s="29">
        <f>L54</f>
        <v>28.04</v>
      </c>
    </row>
    <row r="18" spans="1:17" ht="15">
      <c r="A18" s="901"/>
      <c r="B18" s="406" t="s">
        <v>89</v>
      </c>
      <c r="C18" s="407" t="s">
        <v>17</v>
      </c>
      <c r="D18" s="36"/>
      <c r="E18" s="36"/>
      <c r="F18" s="231"/>
      <c r="G18" s="901"/>
      <c r="H18" s="904"/>
      <c r="I18" s="172" t="s">
        <v>17</v>
      </c>
      <c r="J18" s="176" t="s">
        <v>89</v>
      </c>
      <c r="K18" s="35" t="str">
        <f t="shared" si="1"/>
        <v/>
      </c>
      <c r="L18" s="35" t="str">
        <f t="shared" si="2"/>
        <v/>
      </c>
      <c r="M18" s="226"/>
      <c r="N18" s="408" t="s">
        <v>342</v>
      </c>
      <c r="O18" s="87" t="s">
        <v>343</v>
      </c>
      <c r="P18" s="29" t="str">
        <f>K49</f>
        <v/>
      </c>
      <c r="Q18" s="29">
        <f>L48</f>
        <v>160</v>
      </c>
    </row>
    <row r="19" spans="1:17" ht="15">
      <c r="A19" s="901"/>
      <c r="B19" s="406" t="s">
        <v>90</v>
      </c>
      <c r="C19" s="407" t="s">
        <v>18</v>
      </c>
      <c r="D19" s="36"/>
      <c r="E19" s="36"/>
      <c r="F19" s="231"/>
      <c r="G19" s="901"/>
      <c r="H19" s="904"/>
      <c r="I19" s="172" t="s">
        <v>18</v>
      </c>
      <c r="J19" s="176" t="s">
        <v>90</v>
      </c>
      <c r="K19" s="35" t="str">
        <f t="shared" si="1"/>
        <v/>
      </c>
      <c r="L19" s="35" t="str">
        <f t="shared" si="2"/>
        <v/>
      </c>
      <c r="M19" s="226"/>
      <c r="N19" s="408" t="s">
        <v>344</v>
      </c>
      <c r="O19" s="87" t="s">
        <v>345</v>
      </c>
      <c r="P19" s="29">
        <f t="shared" ref="P19:Q20" si="4">K38</f>
        <v>15.64</v>
      </c>
      <c r="Q19" s="29">
        <f t="shared" si="4"/>
        <v>5.3239999999999998</v>
      </c>
    </row>
    <row r="20" spans="1:17" ht="15">
      <c r="A20" s="901"/>
      <c r="B20" s="406" t="s">
        <v>141</v>
      </c>
      <c r="C20" s="407" t="s">
        <v>19</v>
      </c>
      <c r="D20" s="36"/>
      <c r="E20" s="36"/>
      <c r="F20" s="231"/>
      <c r="G20" s="901"/>
      <c r="H20" s="904"/>
      <c r="I20" s="172" t="s">
        <v>19</v>
      </c>
      <c r="J20" s="176" t="s">
        <v>141</v>
      </c>
      <c r="K20" s="35" t="str">
        <f t="shared" si="1"/>
        <v/>
      </c>
      <c r="L20" s="35" t="str">
        <f t="shared" si="2"/>
        <v/>
      </c>
      <c r="M20" s="226"/>
      <c r="N20" s="408" t="s">
        <v>346</v>
      </c>
      <c r="O20" s="87" t="s">
        <v>347</v>
      </c>
      <c r="P20" s="29" t="str">
        <f t="shared" si="4"/>
        <v/>
      </c>
      <c r="Q20" s="29">
        <f>L38</f>
        <v>5.3239999999999998</v>
      </c>
    </row>
    <row r="21" spans="1:17" ht="15">
      <c r="A21" s="901"/>
      <c r="B21" s="406" t="s">
        <v>143</v>
      </c>
      <c r="C21" s="407" t="s">
        <v>142</v>
      </c>
      <c r="D21" s="36"/>
      <c r="E21" s="36"/>
      <c r="F21" s="231"/>
      <c r="G21" s="901"/>
      <c r="H21" s="904"/>
      <c r="I21" s="172" t="s">
        <v>142</v>
      </c>
      <c r="J21" s="176" t="s">
        <v>143</v>
      </c>
      <c r="K21" s="35" t="str">
        <f t="shared" si="1"/>
        <v/>
      </c>
      <c r="L21" s="35" t="str">
        <f t="shared" si="2"/>
        <v/>
      </c>
      <c r="M21" s="226"/>
      <c r="N21" s="408" t="s">
        <v>348</v>
      </c>
      <c r="O21" s="87" t="s">
        <v>349</v>
      </c>
      <c r="P21" s="29">
        <f>K76</f>
        <v>6.5759999999999996</v>
      </c>
      <c r="Q21" s="29">
        <f>L76</f>
        <v>16.301100000000002</v>
      </c>
    </row>
    <row r="22" spans="1:17" ht="15">
      <c r="A22" s="901"/>
      <c r="B22" s="406" t="s">
        <v>91</v>
      </c>
      <c r="C22" s="407" t="s">
        <v>20</v>
      </c>
      <c r="D22" s="36"/>
      <c r="E22" s="36"/>
      <c r="F22" s="231"/>
      <c r="G22" s="901"/>
      <c r="H22" s="904"/>
      <c r="I22" s="172" t="s">
        <v>20</v>
      </c>
      <c r="J22" s="176" t="s">
        <v>91</v>
      </c>
      <c r="K22" s="35" t="str">
        <f t="shared" si="1"/>
        <v/>
      </c>
      <c r="L22" s="35" t="str">
        <f t="shared" si="2"/>
        <v/>
      </c>
      <c r="M22" s="226"/>
      <c r="N22" s="408" t="s">
        <v>350</v>
      </c>
      <c r="O22" s="87" t="s">
        <v>351</v>
      </c>
      <c r="P22" s="29" t="str">
        <f>IF(AND(K34="",K35="",K37="",K79=""),"",SUM(K34:K35,K37,K79))</f>
        <v/>
      </c>
      <c r="Q22" s="29">
        <f>IF(AND(L34="",L35="",L37="",L79=""),"",SUM(L34:L35,L37,L79))</f>
        <v>2.7</v>
      </c>
    </row>
    <row r="23" spans="1:17" ht="15">
      <c r="A23" s="901"/>
      <c r="B23" s="406" t="s">
        <v>144</v>
      </c>
      <c r="C23" s="407" t="s">
        <v>21</v>
      </c>
      <c r="D23" s="36"/>
      <c r="E23" s="36"/>
      <c r="F23" s="231"/>
      <c r="G23" s="901"/>
      <c r="H23" s="904"/>
      <c r="I23" s="172" t="s">
        <v>21</v>
      </c>
      <c r="J23" s="176" t="s">
        <v>144</v>
      </c>
      <c r="K23" s="35" t="str">
        <f t="shared" si="1"/>
        <v/>
      </c>
      <c r="L23" s="35" t="str">
        <f t="shared" si="2"/>
        <v/>
      </c>
      <c r="M23" s="226"/>
      <c r="N23" s="408" t="s">
        <v>352</v>
      </c>
      <c r="O23" s="87" t="s">
        <v>353</v>
      </c>
      <c r="P23" s="29">
        <f t="shared" ref="P23:Q23" si="5">K77</f>
        <v>6.2</v>
      </c>
      <c r="Q23" s="29">
        <f t="shared" si="5"/>
        <v>1.52</v>
      </c>
    </row>
    <row r="24" spans="1:17" ht="15">
      <c r="A24" s="901"/>
      <c r="B24" s="406" t="s">
        <v>92</v>
      </c>
      <c r="C24" s="407" t="s">
        <v>22</v>
      </c>
      <c r="D24" s="36"/>
      <c r="E24" s="36"/>
      <c r="F24" s="231"/>
      <c r="G24" s="901"/>
      <c r="H24" s="904"/>
      <c r="I24" s="172" t="s">
        <v>22</v>
      </c>
      <c r="J24" s="176" t="s">
        <v>92</v>
      </c>
      <c r="K24" s="35" t="str">
        <f t="shared" si="1"/>
        <v/>
      </c>
      <c r="L24" s="35" t="str">
        <f t="shared" si="2"/>
        <v/>
      </c>
      <c r="M24" s="226"/>
      <c r="N24" s="408" t="s">
        <v>354</v>
      </c>
      <c r="O24" s="87" t="s">
        <v>355</v>
      </c>
      <c r="P24" s="29" t="str">
        <f t="shared" ref="P24:Q24" si="6">K8</f>
        <v/>
      </c>
      <c r="Q24" s="29" t="str">
        <f t="shared" si="6"/>
        <v/>
      </c>
    </row>
    <row r="25" spans="1:17" ht="15">
      <c r="A25" s="901"/>
      <c r="B25" s="406" t="s">
        <v>93</v>
      </c>
      <c r="C25" s="407" t="s">
        <v>23</v>
      </c>
      <c r="D25" s="36">
        <v>85765.534</v>
      </c>
      <c r="E25" s="36">
        <v>60062.54</v>
      </c>
      <c r="F25" s="231"/>
      <c r="G25" s="901"/>
      <c r="H25" s="904"/>
      <c r="I25" s="172" t="s">
        <v>23</v>
      </c>
      <c r="J25" s="176" t="s">
        <v>93</v>
      </c>
      <c r="K25" s="35">
        <f t="shared" si="1"/>
        <v>85765.534</v>
      </c>
      <c r="L25" s="35">
        <f t="shared" si="2"/>
        <v>60062.54</v>
      </c>
      <c r="M25" s="226"/>
      <c r="N25" s="408" t="s">
        <v>356</v>
      </c>
      <c r="O25" s="87" t="s">
        <v>357</v>
      </c>
      <c r="P25" s="29" t="str">
        <f>IF(AND(K67="",K68="",K70="",K72=""),"",SUM(K67:K68,K70,K72))</f>
        <v/>
      </c>
      <c r="Q25" s="29">
        <f>IF(AND(L67="",L68="",L70="",L72=""),"",SUM(L67:L68,L70,L72))</f>
        <v>10</v>
      </c>
    </row>
    <row r="26" spans="1:17" ht="15" customHeight="1">
      <c r="A26" s="901"/>
      <c r="B26" s="406" t="s">
        <v>94</v>
      </c>
      <c r="C26" s="407" t="s">
        <v>24</v>
      </c>
      <c r="D26" s="36">
        <v>52145</v>
      </c>
      <c r="E26" s="36">
        <v>52142</v>
      </c>
      <c r="F26" s="231"/>
      <c r="G26" s="901"/>
      <c r="H26" s="904"/>
      <c r="I26" s="172" t="s">
        <v>24</v>
      </c>
      <c r="J26" s="176" t="s">
        <v>94</v>
      </c>
      <c r="K26" s="35">
        <f t="shared" si="1"/>
        <v>52145</v>
      </c>
      <c r="L26" s="35">
        <f t="shared" si="2"/>
        <v>52142</v>
      </c>
      <c r="M26" s="226"/>
      <c r="N26" s="93"/>
      <c r="O26" s="409" t="s">
        <v>407</v>
      </c>
      <c r="P26" s="30"/>
      <c r="Q26" s="31"/>
    </row>
    <row r="27" spans="1:17" ht="15">
      <c r="A27" s="901"/>
      <c r="B27" s="406" t="s">
        <v>145</v>
      </c>
      <c r="C27" s="407" t="s">
        <v>25</v>
      </c>
      <c r="D27" s="36"/>
      <c r="E27" s="36"/>
      <c r="F27" s="231"/>
      <c r="G27" s="901"/>
      <c r="H27" s="904"/>
      <c r="I27" s="172" t="s">
        <v>25</v>
      </c>
      <c r="J27" s="176" t="s">
        <v>145</v>
      </c>
      <c r="K27" s="35" t="str">
        <f t="shared" si="1"/>
        <v/>
      </c>
      <c r="L27" s="35" t="str">
        <f t="shared" si="2"/>
        <v/>
      </c>
      <c r="M27" s="226"/>
      <c r="N27" s="408" t="s">
        <v>358</v>
      </c>
      <c r="O27" s="410" t="s">
        <v>84</v>
      </c>
      <c r="P27" s="29" t="str">
        <f>K13</f>
        <v/>
      </c>
      <c r="Q27" s="29" t="str">
        <f>L13</f>
        <v/>
      </c>
    </row>
    <row r="28" spans="1:17" ht="15">
      <c r="A28" s="901"/>
      <c r="B28" s="406" t="s">
        <v>147</v>
      </c>
      <c r="C28" s="407" t="s">
        <v>146</v>
      </c>
      <c r="D28" s="36"/>
      <c r="E28" s="36"/>
      <c r="F28" s="231"/>
      <c r="G28" s="901"/>
      <c r="H28" s="904"/>
      <c r="I28" s="172" t="s">
        <v>146</v>
      </c>
      <c r="J28" s="176" t="s">
        <v>147</v>
      </c>
      <c r="K28" s="35" t="str">
        <f t="shared" si="1"/>
        <v/>
      </c>
      <c r="L28" s="35" t="str">
        <f t="shared" si="2"/>
        <v/>
      </c>
      <c r="M28" s="226"/>
      <c r="N28" s="408" t="s">
        <v>359</v>
      </c>
      <c r="O28" s="410" t="s">
        <v>90</v>
      </c>
      <c r="P28" s="29" t="str">
        <f>K19</f>
        <v/>
      </c>
      <c r="Q28" s="29" t="str">
        <f>L19</f>
        <v/>
      </c>
    </row>
    <row r="29" spans="1:17" ht="15">
      <c r="A29" s="901"/>
      <c r="B29" s="406" t="s">
        <v>149</v>
      </c>
      <c r="C29" s="407" t="s">
        <v>148</v>
      </c>
      <c r="D29" s="36"/>
      <c r="E29" s="36"/>
      <c r="F29" s="231"/>
      <c r="G29" s="901"/>
      <c r="H29" s="904"/>
      <c r="I29" s="172" t="s">
        <v>148</v>
      </c>
      <c r="J29" s="176" t="s">
        <v>149</v>
      </c>
      <c r="K29" s="35" t="str">
        <f t="shared" si="1"/>
        <v/>
      </c>
      <c r="L29" s="35" t="str">
        <f t="shared" si="2"/>
        <v/>
      </c>
      <c r="M29" s="226"/>
      <c r="N29" s="408" t="s">
        <v>360</v>
      </c>
      <c r="O29" s="410" t="s">
        <v>361</v>
      </c>
      <c r="P29" s="29" t="str">
        <f>K17</f>
        <v/>
      </c>
      <c r="Q29" s="29" t="str">
        <f>L17</f>
        <v/>
      </c>
    </row>
    <row r="30" spans="1:17" ht="15">
      <c r="A30" s="901"/>
      <c r="B30" s="406" t="s">
        <v>150</v>
      </c>
      <c r="C30" s="407" t="s">
        <v>26</v>
      </c>
      <c r="D30" s="36"/>
      <c r="E30" s="36"/>
      <c r="F30" s="231"/>
      <c r="G30" s="901"/>
      <c r="H30" s="904"/>
      <c r="I30" s="172" t="s">
        <v>26</v>
      </c>
      <c r="J30" s="176" t="s">
        <v>150</v>
      </c>
      <c r="K30" s="35" t="str">
        <f t="shared" si="1"/>
        <v/>
      </c>
      <c r="L30" s="35" t="str">
        <f t="shared" si="2"/>
        <v/>
      </c>
      <c r="M30" s="226"/>
      <c r="N30" s="408" t="s">
        <v>362</v>
      </c>
      <c r="O30" s="410" t="s">
        <v>91</v>
      </c>
      <c r="P30" s="29" t="str">
        <f>K22</f>
        <v/>
      </c>
      <c r="Q30" s="29" t="str">
        <f>L22</f>
        <v/>
      </c>
    </row>
    <row r="31" spans="1:17" ht="15">
      <c r="A31" s="901"/>
      <c r="B31" s="406" t="s">
        <v>423</v>
      </c>
      <c r="C31" s="407" t="s">
        <v>27</v>
      </c>
      <c r="D31" s="36">
        <v>1614.06</v>
      </c>
      <c r="E31" s="36">
        <v>1760.83</v>
      </c>
      <c r="F31" s="231"/>
      <c r="G31" s="901"/>
      <c r="H31" s="904"/>
      <c r="I31" s="172" t="s">
        <v>27</v>
      </c>
      <c r="J31" s="176" t="s">
        <v>95</v>
      </c>
      <c r="K31" s="35">
        <f t="shared" si="1"/>
        <v>1614.06</v>
      </c>
      <c r="L31" s="35">
        <f t="shared" si="2"/>
        <v>1760.83</v>
      </c>
      <c r="M31" s="226"/>
      <c r="N31" s="408" t="s">
        <v>363</v>
      </c>
      <c r="O31" s="410" t="s">
        <v>94</v>
      </c>
      <c r="P31" s="29">
        <f>K26</f>
        <v>52145</v>
      </c>
      <c r="Q31" s="29">
        <f>L26</f>
        <v>52142</v>
      </c>
    </row>
    <row r="32" spans="1:17" ht="15">
      <c r="A32" s="901"/>
      <c r="B32" s="406" t="s">
        <v>96</v>
      </c>
      <c r="C32" s="407" t="s">
        <v>28</v>
      </c>
      <c r="D32" s="36"/>
      <c r="E32" s="36"/>
      <c r="F32" s="231"/>
      <c r="G32" s="901"/>
      <c r="H32" s="904"/>
      <c r="I32" s="172" t="s">
        <v>28</v>
      </c>
      <c r="J32" s="176" t="s">
        <v>96</v>
      </c>
      <c r="K32" s="35" t="str">
        <f t="shared" si="1"/>
        <v/>
      </c>
      <c r="L32" s="35" t="str">
        <f t="shared" si="2"/>
        <v/>
      </c>
      <c r="M32" s="226"/>
      <c r="N32" s="408" t="s">
        <v>364</v>
      </c>
      <c r="O32" s="410" t="s">
        <v>87</v>
      </c>
      <c r="P32" s="29" t="str">
        <f>K16</f>
        <v/>
      </c>
      <c r="Q32" s="29" t="str">
        <f>L16</f>
        <v/>
      </c>
    </row>
    <row r="33" spans="1:17" ht="15">
      <c r="A33" s="901"/>
      <c r="B33" s="406" t="s">
        <v>97</v>
      </c>
      <c r="C33" s="407" t="s">
        <v>29</v>
      </c>
      <c r="D33" s="36"/>
      <c r="E33" s="36"/>
      <c r="F33" s="231"/>
      <c r="G33" s="901"/>
      <c r="H33" s="904"/>
      <c r="I33" s="172" t="s">
        <v>29</v>
      </c>
      <c r="J33" s="176" t="s">
        <v>97</v>
      </c>
      <c r="K33" s="35" t="str">
        <f t="shared" si="1"/>
        <v/>
      </c>
      <c r="L33" s="35" t="str">
        <f t="shared" si="2"/>
        <v/>
      </c>
      <c r="M33" s="226"/>
      <c r="N33" s="408" t="s">
        <v>365</v>
      </c>
      <c r="O33" s="410" t="s">
        <v>145</v>
      </c>
      <c r="P33" s="29" t="str">
        <f>K27</f>
        <v/>
      </c>
      <c r="Q33" s="29" t="str">
        <f>L27</f>
        <v/>
      </c>
    </row>
    <row r="34" spans="1:17" ht="15">
      <c r="A34" s="901"/>
      <c r="B34" s="406" t="s">
        <v>98</v>
      </c>
      <c r="C34" s="407" t="s">
        <v>99</v>
      </c>
      <c r="D34" s="36"/>
      <c r="E34" s="36"/>
      <c r="F34" s="231"/>
      <c r="G34" s="901"/>
      <c r="H34" s="904"/>
      <c r="I34" s="172" t="s">
        <v>99</v>
      </c>
      <c r="J34" s="176" t="s">
        <v>98</v>
      </c>
      <c r="K34" s="35" t="str">
        <f t="shared" si="1"/>
        <v/>
      </c>
      <c r="L34" s="35" t="str">
        <f t="shared" si="2"/>
        <v/>
      </c>
      <c r="M34" s="226"/>
      <c r="N34" s="408" t="s">
        <v>366</v>
      </c>
      <c r="O34" s="410" t="s">
        <v>89</v>
      </c>
      <c r="P34" s="29" t="str">
        <f>K18</f>
        <v/>
      </c>
      <c r="Q34" s="29" t="str">
        <f>L18</f>
        <v/>
      </c>
    </row>
    <row r="35" spans="1:17" ht="15">
      <c r="A35" s="901"/>
      <c r="B35" s="406" t="s">
        <v>100</v>
      </c>
      <c r="C35" s="407" t="s">
        <v>101</v>
      </c>
      <c r="D35" s="36"/>
      <c r="E35" s="36"/>
      <c r="F35" s="231"/>
      <c r="G35" s="901"/>
      <c r="H35" s="904"/>
      <c r="I35" s="172" t="s">
        <v>101</v>
      </c>
      <c r="J35" s="176" t="s">
        <v>100</v>
      </c>
      <c r="K35" s="35" t="str">
        <f t="shared" si="1"/>
        <v/>
      </c>
      <c r="L35" s="35" t="str">
        <f t="shared" si="2"/>
        <v/>
      </c>
      <c r="M35" s="226"/>
      <c r="N35" s="408" t="s">
        <v>367</v>
      </c>
      <c r="O35" s="410" t="s">
        <v>141</v>
      </c>
      <c r="P35" s="29" t="str">
        <f>K20</f>
        <v/>
      </c>
      <c r="Q35" s="29" t="str">
        <f>L20</f>
        <v/>
      </c>
    </row>
    <row r="36" spans="1:17" ht="15">
      <c r="A36" s="918"/>
      <c r="B36" s="406" t="s">
        <v>151</v>
      </c>
      <c r="C36" s="407" t="s">
        <v>30</v>
      </c>
      <c r="D36" s="36"/>
      <c r="E36" s="36"/>
      <c r="F36" s="231"/>
      <c r="G36" s="902"/>
      <c r="H36" s="905"/>
      <c r="I36" s="172" t="s">
        <v>30</v>
      </c>
      <c r="J36" s="176" t="s">
        <v>151</v>
      </c>
      <c r="K36" s="35" t="str">
        <f t="shared" si="1"/>
        <v/>
      </c>
      <c r="L36" s="35" t="str">
        <f t="shared" si="2"/>
        <v/>
      </c>
      <c r="M36" s="226"/>
      <c r="N36" s="408" t="s">
        <v>368</v>
      </c>
      <c r="O36" s="410" t="s">
        <v>147</v>
      </c>
      <c r="P36" s="29" t="str">
        <f>K28</f>
        <v/>
      </c>
      <c r="Q36" s="29" t="str">
        <f>L28</f>
        <v/>
      </c>
    </row>
    <row r="37" spans="1:17" ht="15">
      <c r="A37" s="900" t="s">
        <v>31</v>
      </c>
      <c r="B37" s="406" t="s">
        <v>102</v>
      </c>
      <c r="C37" s="407" t="s">
        <v>33</v>
      </c>
      <c r="D37" s="36"/>
      <c r="E37" s="36">
        <v>2.7</v>
      </c>
      <c r="F37" s="231"/>
      <c r="G37" s="175" t="s">
        <v>31</v>
      </c>
      <c r="H37" s="176" t="s">
        <v>32</v>
      </c>
      <c r="I37" s="172" t="s">
        <v>33</v>
      </c>
      <c r="J37" s="176" t="s">
        <v>102</v>
      </c>
      <c r="K37" s="35" t="str">
        <f t="shared" si="1"/>
        <v/>
      </c>
      <c r="L37" s="35">
        <f t="shared" si="2"/>
        <v>2.7</v>
      </c>
      <c r="M37" s="226"/>
      <c r="N37" s="408" t="s">
        <v>369</v>
      </c>
      <c r="O37" s="410" t="s">
        <v>86</v>
      </c>
      <c r="P37" s="29">
        <f>K15</f>
        <v>1.5</v>
      </c>
      <c r="Q37" s="29" t="str">
        <f>L15</f>
        <v/>
      </c>
    </row>
    <row r="38" spans="1:17" ht="15" customHeight="1">
      <c r="A38" s="918"/>
      <c r="B38" s="406" t="s">
        <v>135</v>
      </c>
      <c r="C38" s="407" t="s">
        <v>500</v>
      </c>
      <c r="D38" s="36"/>
      <c r="E38" s="36"/>
      <c r="F38" s="231"/>
      <c r="G38" s="900" t="s">
        <v>34</v>
      </c>
      <c r="H38" s="903" t="s">
        <v>152</v>
      </c>
      <c r="I38" s="172" t="s">
        <v>35</v>
      </c>
      <c r="J38" s="176" t="s">
        <v>103</v>
      </c>
      <c r="K38" s="35">
        <f t="shared" ref="K38:K51" si="7">IF(ISNUMBER(D39),D39,"")</f>
        <v>15.64</v>
      </c>
      <c r="L38" s="35">
        <f t="shared" ref="L38:L51" si="8">IF(ISNUMBER(E39),E39,"")</f>
        <v>5.3239999999999998</v>
      </c>
      <c r="M38" s="226"/>
      <c r="N38" s="408" t="s">
        <v>370</v>
      </c>
      <c r="O38" s="410" t="s">
        <v>143</v>
      </c>
      <c r="P38" s="29" t="str">
        <f>K21</f>
        <v/>
      </c>
      <c r="Q38" s="29" t="str">
        <f>L21</f>
        <v/>
      </c>
    </row>
    <row r="39" spans="1:17" ht="15">
      <c r="A39" s="900" t="s">
        <v>34</v>
      </c>
      <c r="B39" s="406" t="s">
        <v>103</v>
      </c>
      <c r="C39" s="407" t="s">
        <v>35</v>
      </c>
      <c r="D39" s="36">
        <v>15.64</v>
      </c>
      <c r="E39" s="36">
        <v>5.3239999999999998</v>
      </c>
      <c r="F39" s="231"/>
      <c r="G39" s="902"/>
      <c r="H39" s="905"/>
      <c r="I39" s="172" t="s">
        <v>105</v>
      </c>
      <c r="J39" s="176" t="s">
        <v>104</v>
      </c>
      <c r="K39" s="35" t="str">
        <f t="shared" si="7"/>
        <v/>
      </c>
      <c r="L39" s="35" t="str">
        <f t="shared" si="8"/>
        <v/>
      </c>
      <c r="M39" s="226"/>
      <c r="N39" s="408" t="s">
        <v>371</v>
      </c>
      <c r="O39" s="410" t="s">
        <v>93</v>
      </c>
      <c r="P39" s="29">
        <f>K25</f>
        <v>85765.534</v>
      </c>
      <c r="Q39" s="29">
        <f>L25</f>
        <v>60062.54</v>
      </c>
    </row>
    <row r="40" spans="1:17" ht="15">
      <c r="A40" s="918"/>
      <c r="B40" s="406" t="s">
        <v>104</v>
      </c>
      <c r="C40" s="407" t="s">
        <v>105</v>
      </c>
      <c r="D40" s="36"/>
      <c r="E40" s="36"/>
      <c r="F40" s="231"/>
      <c r="G40" s="900" t="s">
        <v>37</v>
      </c>
      <c r="H40" s="903" t="s">
        <v>153</v>
      </c>
      <c r="I40" s="172" t="s">
        <v>38</v>
      </c>
      <c r="J40" s="176" t="s">
        <v>106</v>
      </c>
      <c r="K40" s="35" t="str">
        <f t="shared" si="7"/>
        <v/>
      </c>
      <c r="L40" s="35" t="str">
        <f t="shared" si="8"/>
        <v/>
      </c>
      <c r="M40" s="226"/>
      <c r="N40" s="408" t="s">
        <v>372</v>
      </c>
      <c r="O40" s="410" t="s">
        <v>85</v>
      </c>
      <c r="P40" s="29" t="str">
        <f>K14</f>
        <v/>
      </c>
      <c r="Q40" s="29" t="str">
        <f>L14</f>
        <v/>
      </c>
    </row>
    <row r="41" spans="1:17" ht="15">
      <c r="A41" s="900" t="s">
        <v>37</v>
      </c>
      <c r="B41" s="406" t="s">
        <v>106</v>
      </c>
      <c r="C41" s="407" t="s">
        <v>38</v>
      </c>
      <c r="D41" s="36"/>
      <c r="E41" s="36"/>
      <c r="F41" s="231"/>
      <c r="G41" s="901"/>
      <c r="H41" s="904"/>
      <c r="I41" s="172" t="s">
        <v>39</v>
      </c>
      <c r="J41" s="176" t="s">
        <v>107</v>
      </c>
      <c r="K41" s="35">
        <f t="shared" si="7"/>
        <v>331.524</v>
      </c>
      <c r="L41" s="35">
        <f t="shared" si="8"/>
        <v>627.84500000000003</v>
      </c>
      <c r="M41" s="226"/>
      <c r="N41" s="408" t="s">
        <v>373</v>
      </c>
      <c r="O41" s="410" t="s">
        <v>374</v>
      </c>
      <c r="P41" s="29" t="str">
        <f t="shared" ref="P41:Q43" si="9">K10</f>
        <v/>
      </c>
      <c r="Q41" s="29" t="str">
        <f t="shared" si="9"/>
        <v/>
      </c>
    </row>
    <row r="42" spans="1:17" ht="15">
      <c r="A42" s="901"/>
      <c r="B42" s="406" t="s">
        <v>107</v>
      </c>
      <c r="C42" s="407" t="s">
        <v>39</v>
      </c>
      <c r="D42" s="36">
        <v>331.524</v>
      </c>
      <c r="E42" s="36">
        <v>627.84500000000003</v>
      </c>
      <c r="F42" s="231"/>
      <c r="G42" s="901"/>
      <c r="H42" s="904"/>
      <c r="I42" s="172" t="s">
        <v>40</v>
      </c>
      <c r="J42" s="176" t="s">
        <v>108</v>
      </c>
      <c r="K42" s="35" t="str">
        <f t="shared" si="7"/>
        <v/>
      </c>
      <c r="L42" s="35">
        <f t="shared" si="8"/>
        <v>3.21</v>
      </c>
      <c r="M42" s="226"/>
      <c r="N42" s="408" t="s">
        <v>375</v>
      </c>
      <c r="O42" s="410" t="s">
        <v>82</v>
      </c>
      <c r="P42" s="29" t="str">
        <f t="shared" si="9"/>
        <v/>
      </c>
      <c r="Q42" s="29">
        <f t="shared" si="9"/>
        <v>0.6</v>
      </c>
    </row>
    <row r="43" spans="1:17" ht="15">
      <c r="A43" s="901"/>
      <c r="B43" s="406" t="s">
        <v>108</v>
      </c>
      <c r="C43" s="407" t="s">
        <v>40</v>
      </c>
      <c r="D43" s="36"/>
      <c r="E43" s="36">
        <v>3.21</v>
      </c>
      <c r="F43" s="231"/>
      <c r="G43" s="902"/>
      <c r="H43" s="905"/>
      <c r="I43" s="172" t="s">
        <v>41</v>
      </c>
      <c r="J43" s="176" t="s">
        <v>109</v>
      </c>
      <c r="K43" s="35" t="str">
        <f t="shared" si="7"/>
        <v/>
      </c>
      <c r="L43" s="35" t="str">
        <f t="shared" si="8"/>
        <v/>
      </c>
      <c r="M43" s="226"/>
      <c r="N43" s="408" t="s">
        <v>376</v>
      </c>
      <c r="O43" s="410" t="s">
        <v>83</v>
      </c>
      <c r="P43" s="29" t="str">
        <f t="shared" si="9"/>
        <v/>
      </c>
      <c r="Q43" s="29">
        <f t="shared" si="9"/>
        <v>1.6</v>
      </c>
    </row>
    <row r="44" spans="1:17" ht="15">
      <c r="A44" s="918"/>
      <c r="B44" s="406" t="s">
        <v>109</v>
      </c>
      <c r="C44" s="407" t="s">
        <v>41</v>
      </c>
      <c r="D44" s="36"/>
      <c r="E44" s="36"/>
      <c r="F44" s="231"/>
      <c r="G44" s="900" t="s">
        <v>42</v>
      </c>
      <c r="H44" s="903" t="s">
        <v>154</v>
      </c>
      <c r="I44" s="172" t="s">
        <v>43</v>
      </c>
      <c r="J44" s="176" t="s">
        <v>110</v>
      </c>
      <c r="K44" s="35" t="str">
        <f t="shared" si="7"/>
        <v/>
      </c>
      <c r="L44" s="35">
        <f t="shared" si="8"/>
        <v>0.28499999999999998</v>
      </c>
      <c r="M44" s="226"/>
      <c r="N44" s="408" t="s">
        <v>377</v>
      </c>
      <c r="O44" s="410" t="s">
        <v>378</v>
      </c>
      <c r="P44" s="29" t="str">
        <f>K71</f>
        <v/>
      </c>
      <c r="Q44" s="29" t="str">
        <f>L71</f>
        <v/>
      </c>
    </row>
    <row r="45" spans="1:17" ht="15">
      <c r="A45" s="900" t="s">
        <v>42</v>
      </c>
      <c r="B45" s="406" t="s">
        <v>110</v>
      </c>
      <c r="C45" s="407" t="s">
        <v>43</v>
      </c>
      <c r="D45" s="36"/>
      <c r="E45" s="36">
        <v>0.28499999999999998</v>
      </c>
      <c r="F45" s="231"/>
      <c r="G45" s="901"/>
      <c r="H45" s="904"/>
      <c r="I45" s="172" t="s">
        <v>44</v>
      </c>
      <c r="J45" s="176" t="s">
        <v>111</v>
      </c>
      <c r="K45" s="35" t="str">
        <f t="shared" si="7"/>
        <v/>
      </c>
      <c r="L45" s="35" t="str">
        <f t="shared" si="8"/>
        <v/>
      </c>
      <c r="M45" s="226"/>
      <c r="N45" s="408" t="s">
        <v>379</v>
      </c>
      <c r="O45" s="410" t="s">
        <v>176</v>
      </c>
      <c r="P45" s="29" t="str">
        <f>K45</f>
        <v/>
      </c>
      <c r="Q45" s="29">
        <f>L44</f>
        <v>0.28499999999999998</v>
      </c>
    </row>
    <row r="46" spans="1:17" ht="15">
      <c r="A46" s="901"/>
      <c r="B46" s="406" t="s">
        <v>176</v>
      </c>
      <c r="C46" s="407" t="s">
        <v>44</v>
      </c>
      <c r="D46" s="36"/>
      <c r="E46" s="36"/>
      <c r="F46" s="231"/>
      <c r="G46" s="902"/>
      <c r="H46" s="905"/>
      <c r="I46" s="172" t="s">
        <v>45</v>
      </c>
      <c r="J46" s="176" t="s">
        <v>155</v>
      </c>
      <c r="K46" s="35" t="str">
        <f t="shared" si="7"/>
        <v/>
      </c>
      <c r="L46" s="35" t="str">
        <f t="shared" si="8"/>
        <v/>
      </c>
      <c r="M46" s="226"/>
      <c r="N46" s="408" t="s">
        <v>380</v>
      </c>
      <c r="O46" s="410" t="s">
        <v>381</v>
      </c>
      <c r="P46" s="29" t="str">
        <f>K59</f>
        <v/>
      </c>
      <c r="Q46" s="29" t="str">
        <f>L59</f>
        <v/>
      </c>
    </row>
    <row r="47" spans="1:17" ht="15">
      <c r="A47" s="918"/>
      <c r="B47" s="406" t="s">
        <v>155</v>
      </c>
      <c r="C47" s="407" t="s">
        <v>45</v>
      </c>
      <c r="D47" s="36"/>
      <c r="E47" s="36"/>
      <c r="F47" s="231"/>
      <c r="G47" s="900" t="s">
        <v>46</v>
      </c>
      <c r="H47" s="903" t="s">
        <v>156</v>
      </c>
      <c r="I47" s="172" t="s">
        <v>47</v>
      </c>
      <c r="J47" s="176" t="s">
        <v>112</v>
      </c>
      <c r="K47" s="35">
        <f t="shared" si="7"/>
        <v>17.88</v>
      </c>
      <c r="L47" s="35">
        <f t="shared" si="8"/>
        <v>20.059999999999999</v>
      </c>
      <c r="M47" s="226"/>
      <c r="N47" s="408" t="s">
        <v>382</v>
      </c>
      <c r="O47" s="410" t="s">
        <v>383</v>
      </c>
      <c r="P47" s="29" t="str">
        <f>K55</f>
        <v/>
      </c>
      <c r="Q47" s="29" t="str">
        <f>L55</f>
        <v/>
      </c>
    </row>
    <row r="48" spans="1:17" ht="15">
      <c r="A48" s="983" t="s">
        <v>46</v>
      </c>
      <c r="B48" s="406" t="s">
        <v>112</v>
      </c>
      <c r="C48" s="407" t="s">
        <v>47</v>
      </c>
      <c r="D48" s="36">
        <v>17.88</v>
      </c>
      <c r="E48" s="36">
        <v>20.059999999999999</v>
      </c>
      <c r="F48" s="231"/>
      <c r="G48" s="901"/>
      <c r="H48" s="904"/>
      <c r="I48" s="172" t="s">
        <v>48</v>
      </c>
      <c r="J48" s="176" t="s">
        <v>157</v>
      </c>
      <c r="K48" s="35">
        <f t="shared" si="7"/>
        <v>146.86000000000001</v>
      </c>
      <c r="L48" s="35">
        <f t="shared" si="8"/>
        <v>160</v>
      </c>
      <c r="M48" s="226"/>
      <c r="N48" s="408" t="s">
        <v>384</v>
      </c>
      <c r="O48" s="410" t="s">
        <v>106</v>
      </c>
      <c r="P48" s="29" t="str">
        <f>K40</f>
        <v/>
      </c>
      <c r="Q48" s="29" t="str">
        <f>L39</f>
        <v/>
      </c>
    </row>
    <row r="49" spans="1:17" ht="15">
      <c r="A49" s="984"/>
      <c r="B49" s="406" t="s">
        <v>157</v>
      </c>
      <c r="C49" s="407" t="s">
        <v>48</v>
      </c>
      <c r="D49" s="36">
        <v>146.86000000000001</v>
      </c>
      <c r="E49" s="36">
        <v>160</v>
      </c>
      <c r="F49" s="231"/>
      <c r="G49" s="902"/>
      <c r="H49" s="905"/>
      <c r="I49" s="172" t="s">
        <v>49</v>
      </c>
      <c r="J49" s="176" t="s">
        <v>158</v>
      </c>
      <c r="K49" s="35" t="str">
        <f t="shared" si="7"/>
        <v/>
      </c>
      <c r="L49" s="35" t="str">
        <f t="shared" si="8"/>
        <v/>
      </c>
      <c r="M49" s="226"/>
      <c r="N49" s="408" t="s">
        <v>385</v>
      </c>
      <c r="O49" s="410" t="s">
        <v>108</v>
      </c>
      <c r="P49" s="29" t="str">
        <f>K42</f>
        <v/>
      </c>
      <c r="Q49" s="29">
        <f>L41</f>
        <v>627.84500000000003</v>
      </c>
    </row>
    <row r="50" spans="1:17" ht="15">
      <c r="A50" s="985"/>
      <c r="B50" s="406" t="s">
        <v>158</v>
      </c>
      <c r="C50" s="407" t="s">
        <v>49</v>
      </c>
      <c r="D50" s="36"/>
      <c r="E50" s="36"/>
      <c r="F50" s="231"/>
      <c r="G50" s="900" t="s">
        <v>50</v>
      </c>
      <c r="H50" s="903" t="s">
        <v>159</v>
      </c>
      <c r="I50" s="172" t="s">
        <v>51</v>
      </c>
      <c r="J50" s="176" t="s">
        <v>113</v>
      </c>
      <c r="K50" s="32" t="str">
        <f t="shared" si="7"/>
        <v/>
      </c>
      <c r="L50" s="32" t="str">
        <f t="shared" si="8"/>
        <v/>
      </c>
      <c r="M50" s="226"/>
      <c r="N50" s="408" t="s">
        <v>386</v>
      </c>
      <c r="O50" s="410" t="s">
        <v>107</v>
      </c>
      <c r="P50" s="29">
        <f>K41</f>
        <v>331.524</v>
      </c>
      <c r="Q50" s="29" t="str">
        <f>L40</f>
        <v/>
      </c>
    </row>
    <row r="51" spans="1:17" ht="15" customHeight="1">
      <c r="A51" s="982" t="s">
        <v>50</v>
      </c>
      <c r="B51" s="406" t="s">
        <v>631</v>
      </c>
      <c r="C51" s="407" t="s">
        <v>51</v>
      </c>
      <c r="D51" s="37"/>
      <c r="E51" s="37"/>
      <c r="F51" s="231"/>
      <c r="G51" s="901"/>
      <c r="H51" s="904"/>
      <c r="I51" s="172" t="s">
        <v>115</v>
      </c>
      <c r="J51" s="176" t="s">
        <v>114</v>
      </c>
      <c r="K51" s="32" t="str">
        <f t="shared" si="7"/>
        <v/>
      </c>
      <c r="L51" s="32" t="str">
        <f t="shared" si="8"/>
        <v/>
      </c>
      <c r="M51" s="226"/>
      <c r="N51" s="408" t="s">
        <v>387</v>
      </c>
      <c r="O51" s="410" t="s">
        <v>388</v>
      </c>
      <c r="P51" s="29" t="str">
        <f t="shared" ref="P51:Q52" si="10">K57</f>
        <v/>
      </c>
      <c r="Q51" s="29" t="str">
        <f t="shared" si="10"/>
        <v/>
      </c>
    </row>
    <row r="52" spans="1:17" ht="15">
      <c r="A52" s="920"/>
      <c r="B52" s="406" t="s">
        <v>114</v>
      </c>
      <c r="C52" s="407" t="s">
        <v>115</v>
      </c>
      <c r="D52" s="37"/>
      <c r="E52" s="37"/>
      <c r="F52" s="231"/>
      <c r="G52" s="901"/>
      <c r="H52" s="904"/>
      <c r="I52" s="172" t="s">
        <v>52</v>
      </c>
      <c r="J52" s="176" t="s">
        <v>116</v>
      </c>
      <c r="K52" s="35" t="str">
        <f t="shared" ref="K52:K69" si="11">IF(ISNUMBER(D54),D54,"")</f>
        <v/>
      </c>
      <c r="L52" s="35" t="str">
        <f t="shared" ref="L52:L69" si="12">IF(ISNUMBER(E54),E54,"")</f>
        <v/>
      </c>
      <c r="M52" s="226"/>
      <c r="N52" s="408" t="s">
        <v>389</v>
      </c>
      <c r="O52" s="410" t="s">
        <v>390</v>
      </c>
      <c r="P52" s="29" t="str">
        <f t="shared" si="10"/>
        <v/>
      </c>
      <c r="Q52" s="29" t="str">
        <f t="shared" si="10"/>
        <v/>
      </c>
    </row>
    <row r="53" spans="1:17" ht="15">
      <c r="A53" s="920"/>
      <c r="B53" s="406" t="s">
        <v>632</v>
      </c>
      <c r="C53" s="407" t="s">
        <v>621</v>
      </c>
      <c r="D53" s="388"/>
      <c r="E53" s="388"/>
      <c r="F53" s="231"/>
      <c r="G53" s="902"/>
      <c r="H53" s="905"/>
      <c r="I53" s="172" t="s">
        <v>118</v>
      </c>
      <c r="J53" s="176" t="s">
        <v>117</v>
      </c>
      <c r="K53" s="35" t="str">
        <f t="shared" si="11"/>
        <v/>
      </c>
      <c r="L53" s="35" t="str">
        <f t="shared" si="12"/>
        <v/>
      </c>
      <c r="M53" s="226"/>
      <c r="N53" s="408" t="s">
        <v>391</v>
      </c>
      <c r="O53" s="410" t="s">
        <v>392</v>
      </c>
      <c r="P53" s="29" t="str">
        <f>K56</f>
        <v/>
      </c>
      <c r="Q53" s="29" t="str">
        <f>L56</f>
        <v/>
      </c>
    </row>
    <row r="54" spans="1:17" ht="25.5">
      <c r="A54" s="920"/>
      <c r="B54" s="406" t="s">
        <v>116</v>
      </c>
      <c r="C54" s="407" t="s">
        <v>52</v>
      </c>
      <c r="D54" s="36"/>
      <c r="E54" s="36"/>
      <c r="F54" s="231"/>
      <c r="G54" s="900" t="s">
        <v>53</v>
      </c>
      <c r="H54" s="903" t="s">
        <v>54</v>
      </c>
      <c r="I54" s="172" t="s">
        <v>55</v>
      </c>
      <c r="J54" s="176" t="s">
        <v>160</v>
      </c>
      <c r="K54" s="35">
        <f t="shared" si="11"/>
        <v>5.0420400000000001</v>
      </c>
      <c r="L54" s="35">
        <f t="shared" si="12"/>
        <v>28.04</v>
      </c>
      <c r="M54" s="226"/>
      <c r="N54" s="93"/>
      <c r="O54" s="409" t="s">
        <v>405</v>
      </c>
      <c r="P54" s="30"/>
      <c r="Q54" s="31"/>
    </row>
    <row r="55" spans="1:17" ht="15">
      <c r="A55" s="921"/>
      <c r="B55" s="406" t="s">
        <v>633</v>
      </c>
      <c r="C55" s="411" t="s">
        <v>118</v>
      </c>
      <c r="D55" s="36"/>
      <c r="E55" s="36"/>
      <c r="F55" s="231"/>
      <c r="G55" s="901"/>
      <c r="H55" s="904"/>
      <c r="I55" s="172" t="s">
        <v>56</v>
      </c>
      <c r="J55" s="176" t="s">
        <v>161</v>
      </c>
      <c r="K55" s="35" t="str">
        <f t="shared" si="11"/>
        <v/>
      </c>
      <c r="L55" s="35" t="str">
        <f t="shared" si="12"/>
        <v/>
      </c>
      <c r="M55" s="226"/>
      <c r="N55" s="408" t="s">
        <v>393</v>
      </c>
      <c r="O55" s="410" t="s">
        <v>394</v>
      </c>
      <c r="P55" s="412"/>
      <c r="Q55" s="412"/>
    </row>
    <row r="56" spans="1:17" ht="15">
      <c r="A56" s="900" t="s">
        <v>53</v>
      </c>
      <c r="B56" s="169" t="s">
        <v>634</v>
      </c>
      <c r="C56" s="407" t="s">
        <v>55</v>
      </c>
      <c r="D56" s="36">
        <v>5.0420400000000001</v>
      </c>
      <c r="E56" s="36">
        <v>28.04</v>
      </c>
      <c r="F56" s="231"/>
      <c r="G56" s="901"/>
      <c r="H56" s="904"/>
      <c r="I56" s="172" t="s">
        <v>57</v>
      </c>
      <c r="J56" s="176" t="s">
        <v>162</v>
      </c>
      <c r="K56" s="35" t="str">
        <f t="shared" si="11"/>
        <v/>
      </c>
      <c r="L56" s="35" t="str">
        <f t="shared" si="12"/>
        <v/>
      </c>
      <c r="M56" s="226"/>
      <c r="N56" s="408" t="s">
        <v>395</v>
      </c>
      <c r="O56" s="410" t="s">
        <v>396</v>
      </c>
      <c r="P56" s="412"/>
      <c r="Q56" s="412"/>
    </row>
    <row r="57" spans="1:17" ht="15">
      <c r="A57" s="901"/>
      <c r="B57" s="169" t="s">
        <v>161</v>
      </c>
      <c r="C57" s="407" t="s">
        <v>56</v>
      </c>
      <c r="D57" s="36"/>
      <c r="E57" s="36"/>
      <c r="F57" s="231"/>
      <c r="G57" s="901"/>
      <c r="H57" s="904"/>
      <c r="I57" s="172" t="s">
        <v>120</v>
      </c>
      <c r="J57" s="176" t="s">
        <v>119</v>
      </c>
      <c r="K57" s="35" t="str">
        <f t="shared" si="11"/>
        <v/>
      </c>
      <c r="L57" s="35" t="str">
        <f t="shared" si="12"/>
        <v/>
      </c>
      <c r="M57" s="226"/>
      <c r="N57" s="100"/>
      <c r="O57" s="413" t="s">
        <v>408</v>
      </c>
      <c r="P57" s="33"/>
      <c r="Q57" s="34"/>
    </row>
    <row r="58" spans="1:17" ht="15">
      <c r="A58" s="901"/>
      <c r="B58" s="169" t="s">
        <v>635</v>
      </c>
      <c r="C58" s="407" t="s">
        <v>57</v>
      </c>
      <c r="D58" s="36"/>
      <c r="E58" s="36"/>
      <c r="F58" s="231"/>
      <c r="G58" s="901"/>
      <c r="H58" s="904"/>
      <c r="I58" s="172" t="s">
        <v>122</v>
      </c>
      <c r="J58" s="176" t="s">
        <v>121</v>
      </c>
      <c r="K58" s="35" t="str">
        <f t="shared" si="11"/>
        <v/>
      </c>
      <c r="L58" s="35" t="str">
        <f t="shared" si="12"/>
        <v/>
      </c>
      <c r="M58" s="226"/>
      <c r="N58" s="175">
        <v>1</v>
      </c>
      <c r="O58" s="414" t="s">
        <v>397</v>
      </c>
      <c r="P58" s="35" t="str">
        <f t="shared" ref="P58" si="13">IF(OR(ISNUMBER(K23),ISNUMBER(K24),ISNUMBER(K29),ISNUMBER(K30)),SUM(K23:K24,K29:K30),"")</f>
        <v/>
      </c>
      <c r="Q58" s="35" t="str">
        <f>IF(OR(ISNUMBER(L23),ISNUMBER(L24),ISNUMBER(L29),ISNUMBER(L30)),SUM(L23:L24,L29:L30),"")</f>
        <v/>
      </c>
    </row>
    <row r="59" spans="1:17" ht="15">
      <c r="A59" s="901"/>
      <c r="B59" s="169" t="s">
        <v>119</v>
      </c>
      <c r="C59" s="407" t="s">
        <v>120</v>
      </c>
      <c r="D59" s="36"/>
      <c r="E59" s="36"/>
      <c r="F59" s="231"/>
      <c r="G59" s="901"/>
      <c r="H59" s="904"/>
      <c r="I59" s="172" t="s">
        <v>124</v>
      </c>
      <c r="J59" s="176" t="s">
        <v>123</v>
      </c>
      <c r="K59" s="35" t="str">
        <f t="shared" si="11"/>
        <v/>
      </c>
      <c r="L59" s="35" t="str">
        <f t="shared" si="12"/>
        <v/>
      </c>
      <c r="M59" s="226"/>
      <c r="N59" s="175">
        <v>2</v>
      </c>
      <c r="O59" s="414" t="s">
        <v>398</v>
      </c>
      <c r="P59" s="35">
        <f>IF(OR(ISNUMBER(K31),ISNUMBER(K32),ISNUMBER(K33),ISNUMBER(K36)),SUM(K31:K33,K36),"")</f>
        <v>1614.06</v>
      </c>
      <c r="Q59" s="35">
        <f>IF(OR(ISNUMBER(L31),ISNUMBER(L32),ISNUMBER(L33),ISNUMBER(L36)),SUM(L31:L33,L36),"")</f>
        <v>1760.83</v>
      </c>
    </row>
    <row r="60" spans="1:17" ht="15">
      <c r="A60" s="901"/>
      <c r="B60" s="169" t="s">
        <v>121</v>
      </c>
      <c r="C60" s="407" t="s">
        <v>122</v>
      </c>
      <c r="D60" s="36"/>
      <c r="E60" s="36"/>
      <c r="F60" s="231"/>
      <c r="G60" s="901"/>
      <c r="H60" s="904"/>
      <c r="I60" s="172" t="s">
        <v>58</v>
      </c>
      <c r="J60" s="176" t="s">
        <v>136</v>
      </c>
      <c r="K60" s="35" t="str">
        <f t="shared" si="11"/>
        <v/>
      </c>
      <c r="L60" s="35" t="str">
        <f t="shared" si="12"/>
        <v/>
      </c>
      <c r="M60" s="226"/>
      <c r="N60" s="175">
        <v>3</v>
      </c>
      <c r="O60" s="414" t="s">
        <v>323</v>
      </c>
      <c r="P60" s="35">
        <f t="shared" ref="P60:Q60" si="14">IF(OR(ISNUMBER(K60),ISNUMBER(K61),ISNUMBER(K62),ISNUMBER(K63)),SUM(K60:K63),"")</f>
        <v>15</v>
      </c>
      <c r="Q60" s="35">
        <f t="shared" si="14"/>
        <v>1.1671000000000001E-2</v>
      </c>
    </row>
    <row r="61" spans="1:17" ht="15">
      <c r="A61" s="901"/>
      <c r="B61" s="169" t="s">
        <v>636</v>
      </c>
      <c r="C61" s="407" t="s">
        <v>124</v>
      </c>
      <c r="D61" s="36"/>
      <c r="E61" s="36"/>
      <c r="F61" s="231"/>
      <c r="G61" s="901"/>
      <c r="H61" s="904"/>
      <c r="I61" s="172" t="s">
        <v>59</v>
      </c>
      <c r="J61" s="176" t="s">
        <v>125</v>
      </c>
      <c r="K61" s="35" t="str">
        <f t="shared" si="11"/>
        <v/>
      </c>
      <c r="L61" s="35" t="str">
        <f t="shared" si="12"/>
        <v/>
      </c>
      <c r="M61" s="226"/>
      <c r="N61" s="175">
        <v>4</v>
      </c>
      <c r="O61" s="414" t="s">
        <v>159</v>
      </c>
      <c r="P61" s="35" t="str">
        <f>IF(OR(ISNUMBER(K50),ISNUMBER(K51),ISNUMBER(K52),ISNUMBER(K53)),SUM(K50:K53),"")</f>
        <v/>
      </c>
      <c r="Q61" s="35" t="str">
        <f>IF(OR(ISNUMBER(L49),ISNUMBER(L50),ISNUMBER(L52),ISNUMBER(L53)),SUM(L49:L53),"")</f>
        <v/>
      </c>
    </row>
    <row r="62" spans="1:17" ht="25.5">
      <c r="A62" s="901"/>
      <c r="B62" s="169" t="s">
        <v>136</v>
      </c>
      <c r="C62" s="407" t="s">
        <v>58</v>
      </c>
      <c r="D62" s="36"/>
      <c r="E62" s="36"/>
      <c r="F62" s="231"/>
      <c r="G62" s="901"/>
      <c r="H62" s="904"/>
      <c r="I62" s="172" t="s">
        <v>60</v>
      </c>
      <c r="J62" s="176" t="s">
        <v>163</v>
      </c>
      <c r="K62" s="35">
        <f t="shared" si="11"/>
        <v>15</v>
      </c>
      <c r="L62" s="35">
        <f t="shared" si="12"/>
        <v>1.1671000000000001E-2</v>
      </c>
      <c r="M62" s="226"/>
      <c r="N62" s="175">
        <v>5</v>
      </c>
      <c r="O62" s="176" t="s">
        <v>399</v>
      </c>
      <c r="P62" s="35" t="str">
        <f>K64</f>
        <v/>
      </c>
      <c r="Q62" s="35">
        <f>L64</f>
        <v>60.683999999999997</v>
      </c>
    </row>
    <row r="63" spans="1:17" ht="15">
      <c r="A63" s="901"/>
      <c r="B63" s="169" t="s">
        <v>125</v>
      </c>
      <c r="C63" s="407" t="s">
        <v>59</v>
      </c>
      <c r="D63" s="36"/>
      <c r="E63" s="36"/>
      <c r="F63" s="231"/>
      <c r="G63" s="902"/>
      <c r="H63" s="905"/>
      <c r="I63" s="172" t="s">
        <v>61</v>
      </c>
      <c r="J63" s="176" t="s">
        <v>126</v>
      </c>
      <c r="K63" s="35" t="str">
        <f t="shared" si="11"/>
        <v/>
      </c>
      <c r="L63" s="35" t="str">
        <f t="shared" si="12"/>
        <v/>
      </c>
      <c r="M63" s="226"/>
      <c r="N63" s="175">
        <v>6</v>
      </c>
      <c r="O63" s="176" t="s">
        <v>462</v>
      </c>
      <c r="P63" s="35" t="str">
        <f t="shared" ref="P63:Q63" si="15">K65</f>
        <v/>
      </c>
      <c r="Q63" s="35" t="str">
        <f t="shared" si="15"/>
        <v/>
      </c>
    </row>
    <row r="64" spans="1:17" ht="15">
      <c r="A64" s="901"/>
      <c r="B64" s="169" t="s">
        <v>163</v>
      </c>
      <c r="C64" s="407" t="s">
        <v>60</v>
      </c>
      <c r="D64" s="36">
        <v>15</v>
      </c>
      <c r="E64" s="36">
        <v>1.1671000000000001E-2</v>
      </c>
      <c r="F64" s="231"/>
      <c r="G64" s="900" t="s">
        <v>62</v>
      </c>
      <c r="H64" s="903" t="s">
        <v>164</v>
      </c>
      <c r="I64" s="172" t="s">
        <v>63</v>
      </c>
      <c r="J64" s="176" t="s">
        <v>165</v>
      </c>
      <c r="K64" s="35" t="str">
        <f t="shared" si="11"/>
        <v/>
      </c>
      <c r="L64" s="35">
        <f t="shared" si="12"/>
        <v>60.683999999999997</v>
      </c>
      <c r="M64" s="231"/>
      <c r="N64" s="175">
        <v>7</v>
      </c>
      <c r="O64" s="176" t="s">
        <v>463</v>
      </c>
      <c r="P64" s="35" t="str">
        <f>IF(OR(ISNUMBER(K66),ISNUMBER(K69)),SUM(K66,K69),"")</f>
        <v/>
      </c>
      <c r="Q64" s="35" t="str">
        <f>IF(OR(ISNUMBER(L66),ISNUMBER(L69)),SUM(L66,L69),"")</f>
        <v/>
      </c>
    </row>
    <row r="65" spans="1:17" ht="15">
      <c r="A65" s="918"/>
      <c r="B65" s="169" t="s">
        <v>126</v>
      </c>
      <c r="C65" s="407" t="s">
        <v>61</v>
      </c>
      <c r="D65" s="36"/>
      <c r="E65" s="36"/>
      <c r="F65" s="231"/>
      <c r="G65" s="901"/>
      <c r="H65" s="904"/>
      <c r="I65" s="172" t="s">
        <v>64</v>
      </c>
      <c r="J65" s="176" t="s">
        <v>127</v>
      </c>
      <c r="K65" s="35" t="str">
        <f t="shared" si="11"/>
        <v/>
      </c>
      <c r="L65" s="35" t="str">
        <f t="shared" si="12"/>
        <v/>
      </c>
      <c r="M65" s="231"/>
      <c r="N65" s="175">
        <v>8</v>
      </c>
      <c r="O65" s="191" t="s">
        <v>133</v>
      </c>
      <c r="P65" s="35" t="str">
        <f>K78</f>
        <v/>
      </c>
      <c r="Q65" s="35" t="str">
        <f>L78</f>
        <v/>
      </c>
    </row>
    <row r="66" spans="1:17" ht="15">
      <c r="A66" s="900" t="s">
        <v>62</v>
      </c>
      <c r="B66" s="169" t="s">
        <v>637</v>
      </c>
      <c r="C66" s="407" t="s">
        <v>63</v>
      </c>
      <c r="D66" s="36"/>
      <c r="E66" s="36">
        <v>60.683999999999997</v>
      </c>
      <c r="F66" s="231"/>
      <c r="G66" s="901"/>
      <c r="H66" s="904"/>
      <c r="I66" s="172" t="s">
        <v>65</v>
      </c>
      <c r="J66" s="176" t="s">
        <v>166</v>
      </c>
      <c r="K66" s="35" t="str">
        <f t="shared" si="11"/>
        <v/>
      </c>
      <c r="L66" s="35" t="str">
        <f t="shared" si="12"/>
        <v/>
      </c>
      <c r="M66" s="231"/>
      <c r="N66" s="232"/>
    </row>
    <row r="67" spans="1:17" ht="15">
      <c r="A67" s="901"/>
      <c r="B67" s="169" t="s">
        <v>127</v>
      </c>
      <c r="C67" s="407" t="s">
        <v>64</v>
      </c>
      <c r="D67" s="36"/>
      <c r="E67" s="36"/>
      <c r="F67" s="231"/>
      <c r="G67" s="901"/>
      <c r="H67" s="904"/>
      <c r="I67" s="172" t="s">
        <v>66</v>
      </c>
      <c r="J67" s="176" t="s">
        <v>173</v>
      </c>
      <c r="K67" s="35" t="str">
        <f t="shared" si="11"/>
        <v/>
      </c>
      <c r="L67" s="35" t="str">
        <f t="shared" si="12"/>
        <v/>
      </c>
      <c r="M67" s="231"/>
      <c r="N67" s="232"/>
    </row>
    <row r="68" spans="1:17" ht="15">
      <c r="A68" s="901"/>
      <c r="B68" s="169" t="s">
        <v>638</v>
      </c>
      <c r="C68" s="407" t="s">
        <v>65</v>
      </c>
      <c r="D68" s="36"/>
      <c r="E68" s="36"/>
      <c r="F68" s="231"/>
      <c r="G68" s="901"/>
      <c r="H68" s="904"/>
      <c r="I68" s="172" t="s">
        <v>67</v>
      </c>
      <c r="J68" s="176" t="s">
        <v>174</v>
      </c>
      <c r="K68" s="35" t="str">
        <f t="shared" si="11"/>
        <v/>
      </c>
      <c r="L68" s="35">
        <f t="shared" si="12"/>
        <v>10</v>
      </c>
      <c r="M68" s="231"/>
      <c r="N68" s="232"/>
    </row>
    <row r="69" spans="1:17" ht="15">
      <c r="A69" s="901"/>
      <c r="B69" s="169" t="s">
        <v>639</v>
      </c>
      <c r="C69" s="407" t="s">
        <v>66</v>
      </c>
      <c r="D69" s="36"/>
      <c r="E69" s="36"/>
      <c r="F69" s="231"/>
      <c r="G69" s="901"/>
      <c r="H69" s="904"/>
      <c r="I69" s="172" t="s">
        <v>68</v>
      </c>
      <c r="J69" s="176" t="s">
        <v>175</v>
      </c>
      <c r="K69" s="35" t="str">
        <f t="shared" si="11"/>
        <v/>
      </c>
      <c r="L69" s="35" t="str">
        <f t="shared" si="12"/>
        <v/>
      </c>
      <c r="M69" s="231"/>
      <c r="N69" s="232"/>
    </row>
    <row r="70" spans="1:17" ht="15">
      <c r="A70" s="901"/>
      <c r="B70" s="169" t="s">
        <v>640</v>
      </c>
      <c r="C70" s="407" t="s">
        <v>67</v>
      </c>
      <c r="D70" s="36"/>
      <c r="E70" s="36">
        <v>10</v>
      </c>
      <c r="F70" s="231"/>
      <c r="G70" s="901"/>
      <c r="H70" s="904"/>
      <c r="I70" s="172" t="s">
        <v>128</v>
      </c>
      <c r="J70" s="176" t="s">
        <v>167</v>
      </c>
      <c r="K70" s="32" t="str">
        <f t="shared" ref="K70:L70" si="16">IF(ISNUMBER(D85),D85,"")</f>
        <v/>
      </c>
      <c r="L70" s="32" t="str">
        <f t="shared" si="16"/>
        <v/>
      </c>
      <c r="M70" s="231"/>
      <c r="N70" s="232"/>
    </row>
    <row r="71" spans="1:17" ht="15">
      <c r="A71" s="901"/>
      <c r="B71" s="169" t="s">
        <v>175</v>
      </c>
      <c r="C71" s="407" t="s">
        <v>68</v>
      </c>
      <c r="D71" s="36"/>
      <c r="E71" s="36"/>
      <c r="F71" s="231"/>
      <c r="G71" s="901"/>
      <c r="H71" s="904"/>
      <c r="I71" s="172" t="s">
        <v>69</v>
      </c>
      <c r="J71" s="176" t="s">
        <v>129</v>
      </c>
      <c r="K71" s="32" t="str">
        <f t="shared" ref="K71:L71" si="17">IF(ISNUMBER(D72),D72,"")</f>
        <v/>
      </c>
      <c r="L71" s="32" t="str">
        <f t="shared" si="17"/>
        <v/>
      </c>
      <c r="M71" s="231"/>
      <c r="N71" s="232"/>
    </row>
    <row r="72" spans="1:17" ht="15">
      <c r="A72" s="901"/>
      <c r="B72" s="169" t="s">
        <v>129</v>
      </c>
      <c r="C72" s="407" t="s">
        <v>69</v>
      </c>
      <c r="D72" s="37"/>
      <c r="E72" s="37"/>
      <c r="F72" s="231"/>
      <c r="G72" s="902"/>
      <c r="H72" s="905"/>
      <c r="I72" s="172" t="s">
        <v>70</v>
      </c>
      <c r="J72" s="176" t="s">
        <v>168</v>
      </c>
      <c r="K72" s="35" t="str">
        <f t="shared" ref="K72" si="18">IF(ISNUMBER(D73),D73,"")</f>
        <v/>
      </c>
      <c r="L72" s="35" t="str">
        <f t="shared" ref="L72" si="19">IF(ISNUMBER(E73),E73,"")</f>
        <v/>
      </c>
      <c r="M72" s="231"/>
      <c r="N72" s="232"/>
    </row>
    <row r="73" spans="1:17" ht="15" customHeight="1">
      <c r="A73" s="918"/>
      <c r="B73" s="169" t="s">
        <v>168</v>
      </c>
      <c r="C73" s="407" t="s">
        <v>70</v>
      </c>
      <c r="D73" s="36"/>
      <c r="E73" s="36"/>
      <c r="F73" s="231"/>
      <c r="G73" s="900" t="s">
        <v>71</v>
      </c>
      <c r="H73" s="903" t="s">
        <v>169</v>
      </c>
      <c r="I73" s="172" t="s">
        <v>72</v>
      </c>
      <c r="J73" s="176" t="s">
        <v>170</v>
      </c>
      <c r="K73" s="35">
        <f t="shared" ref="K73:L73" si="20">IF(OR(ISNUMBER(D79),ISNUMBER(D74)),SUM(D74,D79),"")</f>
        <v>20.149999999999999</v>
      </c>
      <c r="L73" s="35">
        <f t="shared" si="20"/>
        <v>3.6</v>
      </c>
      <c r="M73" s="231"/>
      <c r="N73" s="232"/>
    </row>
    <row r="74" spans="1:17" ht="15" customHeight="1">
      <c r="A74" s="900" t="s">
        <v>641</v>
      </c>
      <c r="B74" s="169" t="s">
        <v>642</v>
      </c>
      <c r="C74" s="407" t="s">
        <v>643</v>
      </c>
      <c r="D74" s="36"/>
      <c r="E74" s="36"/>
      <c r="F74" s="231"/>
      <c r="G74" s="901"/>
      <c r="H74" s="904"/>
      <c r="I74" s="172" t="s">
        <v>73</v>
      </c>
      <c r="J74" s="176" t="s">
        <v>130</v>
      </c>
      <c r="K74" s="35">
        <f t="shared" ref="K74:L74" si="21">IF(ISNUMBER(D80),D80,"")</f>
        <v>14.7545</v>
      </c>
      <c r="L74" s="35">
        <f t="shared" si="21"/>
        <v>7.6479999999999997</v>
      </c>
      <c r="M74" s="231"/>
      <c r="N74" s="232"/>
    </row>
    <row r="75" spans="1:17" ht="15">
      <c r="A75" s="901"/>
      <c r="B75" s="169" t="s">
        <v>644</v>
      </c>
      <c r="C75" s="407" t="s">
        <v>645</v>
      </c>
      <c r="D75" s="36"/>
      <c r="E75" s="36"/>
      <c r="F75" s="231"/>
      <c r="G75" s="902"/>
      <c r="H75" s="905"/>
      <c r="I75" s="172" t="s">
        <v>74</v>
      </c>
      <c r="J75" s="176" t="s">
        <v>131</v>
      </c>
      <c r="K75" s="35" t="str">
        <f t="shared" ref="K75" si="22">IF(ISNUMBER(D81),D81,"")</f>
        <v/>
      </c>
      <c r="L75" s="35" t="str">
        <f t="shared" ref="L75" si="23">IF(ISNUMBER(E81),E81,"")</f>
        <v/>
      </c>
      <c r="M75" s="231"/>
      <c r="N75" s="232"/>
    </row>
    <row r="76" spans="1:17" ht="15" customHeight="1">
      <c r="A76" s="901"/>
      <c r="B76" s="169" t="s">
        <v>646</v>
      </c>
      <c r="C76" s="407" t="s">
        <v>647</v>
      </c>
      <c r="D76" s="36"/>
      <c r="E76" s="36"/>
      <c r="F76" s="231"/>
      <c r="G76" s="900" t="s">
        <v>75</v>
      </c>
      <c r="H76" s="903" t="s">
        <v>76</v>
      </c>
      <c r="I76" s="172" t="s">
        <v>77</v>
      </c>
      <c r="J76" s="176" t="s">
        <v>171</v>
      </c>
      <c r="K76" s="35">
        <f>IF(OR(ISNUMBER(D82),ISNUMBER(D75),ISNUMBER(D76),ISNUMBER(D77),ISNUMBER(D78)),SUM(D82,D75:D78),"")</f>
        <v>6.5759999999999996</v>
      </c>
      <c r="L76" s="35">
        <f>IF(OR(ISNUMBER(E82),ISNUMBER(E75),ISNUMBER(E76),ISNUMBER(E77),ISNUMBER(E78)),SUM(E82,E75:E78),"")</f>
        <v>16.301100000000002</v>
      </c>
      <c r="M76" s="231"/>
      <c r="N76" s="232"/>
    </row>
    <row r="77" spans="1:17" ht="15">
      <c r="A77" s="901"/>
      <c r="B77" s="169" t="s">
        <v>648</v>
      </c>
      <c r="C77" s="407" t="s">
        <v>649</v>
      </c>
      <c r="D77" s="36"/>
      <c r="E77" s="36"/>
      <c r="F77" s="231"/>
      <c r="G77" s="901"/>
      <c r="H77" s="904"/>
      <c r="I77" s="172" t="s">
        <v>78</v>
      </c>
      <c r="J77" s="176" t="s">
        <v>132</v>
      </c>
      <c r="K77" s="35">
        <f t="shared" ref="K77:K78" si="24">IF(ISNUMBER(D83),D83,"")</f>
        <v>6.2</v>
      </c>
      <c r="L77" s="35">
        <f t="shared" ref="L77:L78" si="25">IF(ISNUMBER(E83),E83,"")</f>
        <v>1.52</v>
      </c>
      <c r="M77" s="231"/>
      <c r="N77" s="232"/>
    </row>
    <row r="78" spans="1:17" ht="15">
      <c r="A78" s="918"/>
      <c r="B78" s="169" t="s">
        <v>650</v>
      </c>
      <c r="C78" s="407" t="s">
        <v>651</v>
      </c>
      <c r="D78" s="36"/>
      <c r="E78" s="36"/>
      <c r="F78" s="231"/>
      <c r="G78" s="901"/>
      <c r="H78" s="904"/>
      <c r="I78" s="172" t="s">
        <v>134</v>
      </c>
      <c r="J78" s="176" t="s">
        <v>133</v>
      </c>
      <c r="K78" s="32" t="str">
        <f t="shared" si="24"/>
        <v/>
      </c>
      <c r="L78" s="32" t="str">
        <f t="shared" si="25"/>
        <v/>
      </c>
      <c r="M78" s="231"/>
      <c r="N78" s="232"/>
    </row>
    <row r="79" spans="1:17" ht="15">
      <c r="A79" s="900" t="s">
        <v>71</v>
      </c>
      <c r="B79" s="169" t="s">
        <v>170</v>
      </c>
      <c r="C79" s="407" t="s">
        <v>72</v>
      </c>
      <c r="D79" s="36">
        <v>20.149999999999999</v>
      </c>
      <c r="E79" s="36">
        <v>3.6</v>
      </c>
      <c r="F79" s="231"/>
      <c r="G79" s="902"/>
      <c r="H79" s="905"/>
      <c r="I79" s="228" t="s">
        <v>172</v>
      </c>
      <c r="J79" s="415" t="s">
        <v>135</v>
      </c>
      <c r="K79" s="416" t="str">
        <f>IF(OR(ISNUMBER(D38),ISNUMBER(D86),ISNUMBER(D87)),SUM(D38,D86:D87),"")</f>
        <v/>
      </c>
      <c r="L79" s="416" t="str">
        <f>IF(OR(ISNUMBER(E38),ISNUMBER(E86),ISNUMBER(E87)),SUM(E38,E86:E87),"")</f>
        <v/>
      </c>
      <c r="M79" s="231"/>
      <c r="N79" s="232"/>
    </row>
    <row r="80" spans="1:17" ht="15">
      <c r="A80" s="901"/>
      <c r="B80" s="169" t="s">
        <v>130</v>
      </c>
      <c r="C80" s="407" t="s">
        <v>73</v>
      </c>
      <c r="D80" s="36">
        <v>14.7545</v>
      </c>
      <c r="E80" s="36">
        <v>7.6479999999999997</v>
      </c>
      <c r="F80" s="231"/>
      <c r="I80" s="417"/>
      <c r="J80" s="417"/>
      <c r="K80" s="417"/>
      <c r="L80" s="417"/>
      <c r="M80" s="116"/>
      <c r="N80" s="232"/>
    </row>
    <row r="81" spans="1:14" ht="15">
      <c r="A81" s="918"/>
      <c r="B81" s="169" t="s">
        <v>131</v>
      </c>
      <c r="C81" s="407" t="s">
        <v>74</v>
      </c>
      <c r="D81" s="36"/>
      <c r="E81" s="36"/>
      <c r="F81" s="231"/>
      <c r="I81" s="232"/>
      <c r="J81" s="232"/>
      <c r="K81" s="232"/>
      <c r="L81" s="232"/>
      <c r="M81" s="116"/>
      <c r="N81" s="232"/>
    </row>
    <row r="82" spans="1:14" ht="15">
      <c r="A82" s="900" t="s">
        <v>75</v>
      </c>
      <c r="B82" s="169" t="s">
        <v>652</v>
      </c>
      <c r="C82" s="407" t="s">
        <v>77</v>
      </c>
      <c r="D82" s="36">
        <v>6.5759999999999996</v>
      </c>
      <c r="E82" s="36">
        <v>16.301100000000002</v>
      </c>
      <c r="F82" s="231"/>
      <c r="I82" s="232"/>
      <c r="J82" s="232"/>
      <c r="K82" s="232"/>
      <c r="L82" s="232"/>
      <c r="M82" s="116"/>
      <c r="N82" s="232"/>
    </row>
    <row r="83" spans="1:14" ht="15">
      <c r="A83" s="901"/>
      <c r="B83" s="169" t="s">
        <v>132</v>
      </c>
      <c r="C83" s="407" t="s">
        <v>78</v>
      </c>
      <c r="D83" s="36">
        <v>6.2</v>
      </c>
      <c r="E83" s="36">
        <v>1.52</v>
      </c>
      <c r="F83" s="231"/>
      <c r="I83" s="232"/>
      <c r="J83" s="232"/>
      <c r="K83" s="232"/>
      <c r="L83" s="232"/>
      <c r="M83" s="116"/>
      <c r="N83" s="232"/>
    </row>
    <row r="84" spans="1:14" ht="15">
      <c r="A84" s="901"/>
      <c r="B84" s="169" t="s">
        <v>133</v>
      </c>
      <c r="C84" s="407" t="s">
        <v>134</v>
      </c>
      <c r="D84" s="37"/>
      <c r="E84" s="37"/>
      <c r="F84" s="231"/>
      <c r="I84" s="232"/>
      <c r="J84" s="232"/>
      <c r="K84" s="232"/>
      <c r="L84" s="232"/>
      <c r="M84" s="116"/>
      <c r="N84" s="232"/>
    </row>
    <row r="85" spans="1:14" ht="15">
      <c r="A85" s="901"/>
      <c r="B85" s="169" t="s">
        <v>167</v>
      </c>
      <c r="C85" s="407" t="s">
        <v>653</v>
      </c>
      <c r="D85" s="36"/>
      <c r="E85" s="36"/>
      <c r="F85" s="231"/>
      <c r="H85" s="199"/>
      <c r="I85" s="232"/>
      <c r="J85" s="232"/>
      <c r="K85" s="232"/>
      <c r="L85" s="232"/>
      <c r="M85" s="116"/>
      <c r="N85" s="232"/>
    </row>
    <row r="86" spans="1:14" ht="15">
      <c r="A86" s="901"/>
      <c r="B86" s="169" t="s">
        <v>654</v>
      </c>
      <c r="C86" s="407" t="s">
        <v>172</v>
      </c>
      <c r="D86" s="36"/>
      <c r="E86" s="36"/>
      <c r="F86" s="231"/>
      <c r="I86" s="232"/>
      <c r="J86" s="232"/>
      <c r="K86" s="232"/>
      <c r="L86" s="232"/>
      <c r="M86" s="116"/>
      <c r="N86" s="232"/>
    </row>
    <row r="87" spans="1:14" ht="15">
      <c r="A87" s="901"/>
      <c r="B87" s="169" t="s">
        <v>32</v>
      </c>
      <c r="C87" s="407" t="s">
        <v>655</v>
      </c>
      <c r="D87" s="36"/>
      <c r="E87" s="36"/>
      <c r="F87" s="231"/>
      <c r="I87" s="232"/>
      <c r="J87" s="232"/>
      <c r="K87" s="232"/>
      <c r="L87" s="232"/>
      <c r="M87" s="116"/>
      <c r="N87" s="232"/>
    </row>
    <row r="88" spans="1:14" ht="15">
      <c r="A88" s="918"/>
      <c r="B88" s="169" t="s">
        <v>656</v>
      </c>
      <c r="C88" s="407" t="s">
        <v>657</v>
      </c>
      <c r="D88" s="36"/>
      <c r="E88" s="36"/>
      <c r="F88" s="231"/>
      <c r="I88" s="232"/>
      <c r="J88" s="232"/>
      <c r="K88" s="232"/>
      <c r="L88" s="232"/>
      <c r="M88" s="116"/>
      <c r="N88" s="232"/>
    </row>
    <row r="89" spans="1:14" s="69" customFormat="1" ht="18.75" customHeight="1">
      <c r="D89" s="109"/>
      <c r="E89" s="110" t="s">
        <v>867</v>
      </c>
      <c r="F89" s="109"/>
      <c r="G89" s="111"/>
      <c r="H89" s="112"/>
      <c r="M89" s="106"/>
      <c r="N89" s="107"/>
    </row>
    <row r="90" spans="1:14" ht="15">
      <c r="D90" s="116"/>
      <c r="E90" s="116"/>
      <c r="I90" s="232"/>
      <c r="J90" s="232"/>
      <c r="K90" s="232"/>
      <c r="L90" s="232"/>
      <c r="M90" s="116"/>
      <c r="N90" s="232"/>
    </row>
    <row r="91" spans="1:14" ht="15">
      <c r="D91" s="116"/>
      <c r="E91" s="116"/>
      <c r="F91" s="116"/>
      <c r="M91" s="116"/>
      <c r="N91" s="232"/>
    </row>
    <row r="92" spans="1:14" ht="18.75">
      <c r="B92" s="418" t="s">
        <v>846</v>
      </c>
      <c r="D92" s="116"/>
      <c r="E92" s="116"/>
      <c r="F92" s="116"/>
      <c r="M92" s="116"/>
    </row>
    <row r="93" spans="1:14" ht="15">
      <c r="B93" s="120"/>
      <c r="D93" s="116"/>
      <c r="E93" s="116"/>
      <c r="F93" s="116"/>
      <c r="M93" s="116"/>
    </row>
    <row r="94" spans="1:14" ht="15" customHeight="1">
      <c r="B94" s="120"/>
      <c r="D94" s="116"/>
      <c r="E94" s="116"/>
      <c r="F94" s="116"/>
      <c r="M94" s="116"/>
    </row>
    <row r="95" spans="1:14" ht="15" customHeight="1">
      <c r="B95" s="121"/>
      <c r="D95" s="116"/>
      <c r="E95" s="116"/>
      <c r="F95" s="116"/>
      <c r="M95" s="116"/>
    </row>
    <row r="96" spans="1:14" ht="15" customHeight="1">
      <c r="B96" s="121"/>
      <c r="D96" s="116"/>
      <c r="E96" s="116"/>
      <c r="F96" s="116"/>
      <c r="M96" s="116"/>
    </row>
    <row r="97" spans="2:13" ht="15" customHeight="1">
      <c r="B97" s="120"/>
      <c r="F97" s="116"/>
      <c r="M97" s="116"/>
    </row>
    <row r="98" spans="2:13" ht="15">
      <c r="B98" s="120"/>
      <c r="F98" s="116"/>
      <c r="M98" s="116"/>
    </row>
    <row r="99" spans="2:13">
      <c r="B99" s="120"/>
    </row>
    <row r="100" spans="2:13">
      <c r="B100" s="120"/>
    </row>
    <row r="101" spans="2:13">
      <c r="B101" s="120"/>
    </row>
    <row r="102" spans="2:13">
      <c r="B102" s="122"/>
    </row>
  </sheetData>
  <sheetProtection sheet="1" objects="1" scenarios="1"/>
  <mergeCells count="40">
    <mergeCell ref="A37:A38"/>
    <mergeCell ref="A13:A36"/>
    <mergeCell ref="A8:A10"/>
    <mergeCell ref="A51:A55"/>
    <mergeCell ref="A48:A50"/>
    <mergeCell ref="A45:A47"/>
    <mergeCell ref="A41:A44"/>
    <mergeCell ref="A39:A40"/>
    <mergeCell ref="A82:A88"/>
    <mergeCell ref="A79:A81"/>
    <mergeCell ref="A74:A78"/>
    <mergeCell ref="A66:A73"/>
    <mergeCell ref="A56:A65"/>
    <mergeCell ref="H8:H10"/>
    <mergeCell ref="H64:H72"/>
    <mergeCell ref="H73:H75"/>
    <mergeCell ref="H13:H36"/>
    <mergeCell ref="H38:H39"/>
    <mergeCell ref="H40:H43"/>
    <mergeCell ref="H44:H46"/>
    <mergeCell ref="H47:H49"/>
    <mergeCell ref="H54:H63"/>
    <mergeCell ref="D6:E6"/>
    <mergeCell ref="G6:J6"/>
    <mergeCell ref="K6:L6"/>
    <mergeCell ref="N6:O6"/>
    <mergeCell ref="P6:Q6"/>
    <mergeCell ref="G8:G10"/>
    <mergeCell ref="G13:G36"/>
    <mergeCell ref="G38:G39"/>
    <mergeCell ref="G40:G43"/>
    <mergeCell ref="G44:G46"/>
    <mergeCell ref="G76:G79"/>
    <mergeCell ref="H50:H53"/>
    <mergeCell ref="H76:H79"/>
    <mergeCell ref="G47:G49"/>
    <mergeCell ref="G50:G53"/>
    <mergeCell ref="G54:G63"/>
    <mergeCell ref="G64:G72"/>
    <mergeCell ref="G73:G75"/>
  </mergeCells>
  <conditionalFormatting sqref="D53:E88 D8:E51">
    <cfRule type="expression" dxfId="58" priority="2">
      <formula>ISNUMBER(D8)</formula>
    </cfRule>
  </conditionalFormatting>
  <conditionalFormatting sqref="D52:E52">
    <cfRule type="expression" dxfId="57" priority="1">
      <formula>ISNUMBER(D52)</formula>
    </cfRule>
  </conditionalFormatting>
  <hyperlinks>
    <hyperlink ref="B4" location="Instructions_to_users" display="Instructions to users (hyperlink)"/>
  </hyperlinks>
  <pageMargins left="0.25" right="0.25" top="0.75" bottom="0.75" header="0.3" footer="0.3"/>
  <pageSetup paperSize="9" scale="80" fitToWidth="0" orientation="portrait" r:id="rId1"/>
  <legacyDrawing r:id="rId2"/>
</worksheet>
</file>

<file path=xl/worksheets/sheet8.xml><?xml version="1.0" encoding="utf-8"?>
<worksheet xmlns="http://schemas.openxmlformats.org/spreadsheetml/2006/main" xmlns:r="http://schemas.openxmlformats.org/officeDocument/2006/relationships">
  <sheetPr>
    <tabColor rgb="FF00B050"/>
  </sheetPr>
  <dimension ref="A1:X129"/>
  <sheetViews>
    <sheetView zoomScale="80" zoomScaleNormal="80" workbookViewId="0">
      <pane ySplit="7" topLeftCell="A8" activePane="bottomLeft" state="frozen"/>
      <selection activeCell="E62" sqref="E62"/>
      <selection pane="bottomLeft" activeCell="A8" sqref="A8"/>
    </sheetView>
  </sheetViews>
  <sheetFormatPr defaultRowHeight="12.75"/>
  <cols>
    <col min="1" max="1" width="5.7109375" style="437" customWidth="1"/>
    <col min="2" max="2" width="97.5703125" style="437" customWidth="1"/>
    <col min="3" max="4" width="11.28515625" style="437" customWidth="1"/>
    <col min="5" max="5" width="11.28515625" style="435" customWidth="1"/>
    <col min="6" max="6" width="7.7109375" style="435" customWidth="1"/>
    <col min="7" max="7" width="7.7109375" style="111" customWidth="1"/>
    <col min="8" max="8" width="20.5703125" style="112" customWidth="1"/>
    <col min="9" max="9" width="9.140625" style="437"/>
    <col min="10" max="10" width="91.5703125" style="437" customWidth="1"/>
    <col min="11" max="11" width="10.85546875" style="437" customWidth="1"/>
    <col min="12" max="12" width="11.140625" style="437" customWidth="1"/>
    <col min="13" max="13" width="8.42578125" style="436" customWidth="1"/>
    <col min="14" max="14" width="9.7109375" style="437" bestFit="1" customWidth="1"/>
    <col min="15" max="15" width="68.5703125" style="437" bestFit="1" customWidth="1"/>
    <col min="16" max="17" width="15.7109375" style="437" bestFit="1" customWidth="1"/>
    <col min="18" max="16384" width="9.140625" style="437"/>
  </cols>
  <sheetData>
    <row r="1" spans="1:24" s="420" customFormat="1" ht="21.75" thickBot="1">
      <c r="A1" s="419" t="s">
        <v>796</v>
      </c>
      <c r="E1" s="421"/>
      <c r="F1" s="421"/>
      <c r="G1" s="421"/>
      <c r="H1" s="421"/>
      <c r="I1" s="421"/>
      <c r="J1" s="422"/>
      <c r="K1" s="423"/>
      <c r="L1" s="423"/>
      <c r="M1" s="423"/>
      <c r="N1" s="422"/>
      <c r="O1" s="423"/>
      <c r="V1" s="421"/>
      <c r="W1" s="424"/>
      <c r="X1" s="424"/>
    </row>
    <row r="2" spans="1:24" s="425" customFormat="1" ht="15">
      <c r="A2" s="47" t="s">
        <v>464</v>
      </c>
      <c r="D2" s="395"/>
      <c r="E2" s="309"/>
      <c r="F2" s="245" t="s">
        <v>444</v>
      </c>
      <c r="G2" s="246"/>
      <c r="H2" s="247"/>
      <c r="I2" s="136" t="s">
        <v>400</v>
      </c>
      <c r="J2" s="426"/>
      <c r="K2" s="55"/>
      <c r="M2" s="53"/>
      <c r="N2" s="427"/>
      <c r="P2" s="56"/>
      <c r="Q2" s="56"/>
      <c r="R2" s="56"/>
      <c r="V2" s="53"/>
    </row>
    <row r="3" spans="1:24" s="425" customFormat="1" ht="18.75">
      <c r="B3" s="141" t="s">
        <v>804</v>
      </c>
      <c r="C3" s="118" t="s">
        <v>1034</v>
      </c>
      <c r="D3" s="428"/>
      <c r="E3" s="319"/>
      <c r="F3" s="251" t="s">
        <v>445</v>
      </c>
      <c r="G3" s="252"/>
      <c r="H3" s="253"/>
      <c r="I3" s="254"/>
      <c r="J3" s="255" t="s">
        <v>785</v>
      </c>
      <c r="M3" s="53"/>
      <c r="N3" s="427"/>
      <c r="V3" s="53"/>
    </row>
    <row r="4" spans="1:24" s="425" customFormat="1" ht="15">
      <c r="B4" s="61" t="s">
        <v>866</v>
      </c>
      <c r="C4" s="257"/>
      <c r="D4" s="428"/>
      <c r="E4" s="258"/>
      <c r="F4" s="251" t="s">
        <v>851</v>
      </c>
      <c r="G4" s="252"/>
      <c r="H4" s="253"/>
      <c r="I4" s="429"/>
      <c r="J4" s="430"/>
      <c r="M4" s="53"/>
      <c r="N4" s="427"/>
      <c r="P4" s="63"/>
      <c r="Q4" s="63"/>
      <c r="R4" s="63"/>
      <c r="V4" s="53"/>
    </row>
    <row r="5" spans="1:24" s="425" customFormat="1" ht="15.75" thickBot="1">
      <c r="A5" s="154"/>
      <c r="D5" s="428"/>
      <c r="E5" s="262"/>
      <c r="F5" s="328" t="s">
        <v>852</v>
      </c>
      <c r="G5" s="264"/>
      <c r="H5" s="265"/>
      <c r="I5" s="431"/>
      <c r="J5" s="432"/>
      <c r="M5" s="53"/>
      <c r="N5" s="427"/>
      <c r="P5" s="63"/>
      <c r="Q5" s="63"/>
      <c r="R5" s="63"/>
      <c r="V5" s="53"/>
    </row>
    <row r="6" spans="1:24" ht="18.75" customHeight="1">
      <c r="A6" s="433" t="s">
        <v>465</v>
      </c>
      <c r="B6" s="434"/>
      <c r="C6" s="434"/>
      <c r="D6" s="986"/>
      <c r="E6" s="987"/>
      <c r="G6" s="911" t="s">
        <v>402</v>
      </c>
      <c r="H6" s="936"/>
      <c r="I6" s="936"/>
      <c r="J6" s="937"/>
      <c r="K6" s="889" t="s">
        <v>401</v>
      </c>
      <c r="L6" s="890"/>
      <c r="N6" s="881" t="s">
        <v>403</v>
      </c>
      <c r="O6" s="882"/>
      <c r="P6" s="883" t="s">
        <v>401</v>
      </c>
      <c r="Q6" s="884"/>
    </row>
    <row r="7" spans="1:24" ht="54" customHeight="1">
      <c r="A7" s="438" t="s">
        <v>0</v>
      </c>
      <c r="B7" s="439" t="s">
        <v>1</v>
      </c>
      <c r="C7" s="440" t="s">
        <v>2</v>
      </c>
      <c r="D7" s="441" t="s">
        <v>668</v>
      </c>
      <c r="E7" s="441" t="s">
        <v>669</v>
      </c>
      <c r="F7" s="442"/>
      <c r="G7" s="75" t="s">
        <v>781</v>
      </c>
      <c r="H7" s="76" t="s">
        <v>409</v>
      </c>
      <c r="I7" s="77" t="s">
        <v>782</v>
      </c>
      <c r="J7" s="76" t="s">
        <v>404</v>
      </c>
      <c r="K7" s="78" t="s">
        <v>668</v>
      </c>
      <c r="L7" s="78" t="s">
        <v>669</v>
      </c>
      <c r="M7" s="442"/>
      <c r="N7" s="79" t="s">
        <v>0</v>
      </c>
      <c r="O7" s="80" t="s">
        <v>406</v>
      </c>
      <c r="P7" s="81" t="s">
        <v>668</v>
      </c>
      <c r="Q7" s="81" t="s">
        <v>669</v>
      </c>
    </row>
    <row r="8" spans="1:24" ht="12.75" customHeight="1">
      <c r="A8" s="443" t="s">
        <v>3</v>
      </c>
      <c r="B8" s="444" t="s">
        <v>466</v>
      </c>
      <c r="C8" s="445" t="s">
        <v>4</v>
      </c>
      <c r="D8" s="843">
        <v>0.12</v>
      </c>
      <c r="E8" s="843">
        <v>7.0000000000000007E-2</v>
      </c>
      <c r="F8" s="446"/>
      <c r="G8" s="872" t="s">
        <v>3</v>
      </c>
      <c r="H8" s="875" t="s">
        <v>137</v>
      </c>
      <c r="I8" s="447" t="s">
        <v>4</v>
      </c>
      <c r="J8" s="448" t="s">
        <v>79</v>
      </c>
      <c r="K8" s="449"/>
      <c r="L8" s="449"/>
      <c r="N8" s="86" t="s">
        <v>324</v>
      </c>
      <c r="O8" s="87" t="s">
        <v>325</v>
      </c>
      <c r="P8" s="29">
        <f>K73</f>
        <v>5557.4410000000144</v>
      </c>
      <c r="Q8" s="29">
        <f>L73</f>
        <v>6215.2310000000143</v>
      </c>
    </row>
    <row r="9" spans="1:24">
      <c r="A9" s="443" t="s">
        <v>5</v>
      </c>
      <c r="B9" s="444" t="s">
        <v>467</v>
      </c>
      <c r="C9" s="445" t="s">
        <v>7</v>
      </c>
      <c r="D9" s="843">
        <v>6761.0579999999945</v>
      </c>
      <c r="E9" s="843">
        <v>11694.930999999999</v>
      </c>
      <c r="F9" s="446"/>
      <c r="G9" s="873"/>
      <c r="H9" s="876"/>
      <c r="I9" s="447" t="s">
        <v>138</v>
      </c>
      <c r="J9" s="448" t="s">
        <v>139</v>
      </c>
      <c r="K9" s="449"/>
      <c r="L9" s="449"/>
      <c r="N9" s="86" t="s">
        <v>326</v>
      </c>
      <c r="O9" s="87" t="s">
        <v>327</v>
      </c>
      <c r="P9" s="29">
        <f>K75</f>
        <v>214.43000000000029</v>
      </c>
      <c r="Q9" s="29">
        <f>L75</f>
        <v>204.23900000000009</v>
      </c>
    </row>
    <row r="10" spans="1:24">
      <c r="A10" s="447" t="s">
        <v>8</v>
      </c>
      <c r="B10" s="444" t="s">
        <v>468</v>
      </c>
      <c r="C10" s="445" t="s">
        <v>9</v>
      </c>
      <c r="D10" s="843">
        <v>4139.3720000000012</v>
      </c>
      <c r="E10" s="843">
        <v>3707.9180000000015</v>
      </c>
      <c r="F10" s="446"/>
      <c r="G10" s="874"/>
      <c r="H10" s="877"/>
      <c r="I10" s="447" t="s">
        <v>81</v>
      </c>
      <c r="J10" s="448" t="s">
        <v>80</v>
      </c>
      <c r="K10" s="450">
        <f>IF(ISNUMBER(D8),D8,"")</f>
        <v>0.12</v>
      </c>
      <c r="L10" s="450">
        <f>IF(ISNUMBER(E8),E8,"")</f>
        <v>7.0000000000000007E-2</v>
      </c>
      <c r="N10" s="86" t="s">
        <v>328</v>
      </c>
      <c r="O10" s="87" t="s">
        <v>130</v>
      </c>
      <c r="P10" s="29">
        <f>K74</f>
        <v>275.27899999999926</v>
      </c>
      <c r="Q10" s="29">
        <f>L74</f>
        <v>263.83199999999999</v>
      </c>
    </row>
    <row r="11" spans="1:24">
      <c r="A11" s="988" t="s">
        <v>10</v>
      </c>
      <c r="B11" s="444" t="s">
        <v>469</v>
      </c>
      <c r="C11" s="445" t="s">
        <v>12</v>
      </c>
      <c r="D11" s="843">
        <v>0</v>
      </c>
      <c r="E11" s="843">
        <v>13.79</v>
      </c>
      <c r="F11" s="446"/>
      <c r="G11" s="90" t="s">
        <v>5</v>
      </c>
      <c r="H11" s="91" t="s">
        <v>6</v>
      </c>
      <c r="I11" s="447" t="s">
        <v>7</v>
      </c>
      <c r="J11" s="448" t="s">
        <v>82</v>
      </c>
      <c r="K11" s="450">
        <f>IF(ISNUMBER(D9),D9,"")</f>
        <v>6761.0579999999945</v>
      </c>
      <c r="L11" s="450">
        <f>IF(ISNUMBER(E9),E9,"")</f>
        <v>11694.930999999999</v>
      </c>
      <c r="N11" s="86" t="s">
        <v>329</v>
      </c>
      <c r="O11" s="87" t="s">
        <v>330</v>
      </c>
      <c r="P11" s="29">
        <f>K44</f>
        <v>519.37</v>
      </c>
      <c r="Q11" s="29">
        <f>L44</f>
        <v>841.78099999999995</v>
      </c>
    </row>
    <row r="12" spans="1:24">
      <c r="A12" s="989"/>
      <c r="B12" s="444" t="s">
        <v>470</v>
      </c>
      <c r="C12" s="445" t="s">
        <v>13</v>
      </c>
      <c r="D12" s="843">
        <v>0</v>
      </c>
      <c r="E12" s="843">
        <v>0</v>
      </c>
      <c r="F12" s="446"/>
      <c r="G12" s="90" t="s">
        <v>8</v>
      </c>
      <c r="H12" s="91" t="s">
        <v>140</v>
      </c>
      <c r="I12" s="447" t="s">
        <v>9</v>
      </c>
      <c r="J12" s="448" t="s">
        <v>83</v>
      </c>
      <c r="K12" s="450">
        <f t="shared" ref="K12:L12" si="0">IF(ISNUMBER(D10),D10,"")</f>
        <v>4139.3720000000012</v>
      </c>
      <c r="L12" s="450">
        <f t="shared" si="0"/>
        <v>3707.9180000000015</v>
      </c>
      <c r="N12" s="86" t="s">
        <v>331</v>
      </c>
      <c r="O12" s="87" t="s">
        <v>332</v>
      </c>
      <c r="P12" s="29">
        <f>K46</f>
        <v>6.2799999999999994</v>
      </c>
      <c r="Q12" s="29">
        <f>L46</f>
        <v>5.8800000000000008</v>
      </c>
    </row>
    <row r="13" spans="1:24">
      <c r="A13" s="989"/>
      <c r="B13" s="444" t="s">
        <v>471</v>
      </c>
      <c r="C13" s="445" t="s">
        <v>14</v>
      </c>
      <c r="D13" s="843">
        <v>2.5909999999999997</v>
      </c>
      <c r="E13" s="843">
        <v>25.78</v>
      </c>
      <c r="F13" s="446"/>
      <c r="G13" s="872" t="s">
        <v>10</v>
      </c>
      <c r="H13" s="878" t="s">
        <v>11</v>
      </c>
      <c r="I13" s="447" t="s">
        <v>12</v>
      </c>
      <c r="J13" s="448" t="s">
        <v>84</v>
      </c>
      <c r="K13" s="450">
        <f t="shared" ref="K13:L13" si="1">IF(ISNUMBER(D11),D11,"")</f>
        <v>0</v>
      </c>
      <c r="L13" s="450">
        <f t="shared" si="1"/>
        <v>13.79</v>
      </c>
      <c r="N13" s="86" t="s">
        <v>333</v>
      </c>
      <c r="O13" s="87" t="s">
        <v>334</v>
      </c>
      <c r="P13" s="29">
        <f>K43</f>
        <v>307.52000000000015</v>
      </c>
      <c r="Q13" s="29">
        <f>L43</f>
        <v>1017.22</v>
      </c>
    </row>
    <row r="14" spans="1:24">
      <c r="A14" s="989"/>
      <c r="B14" s="444" t="s">
        <v>472</v>
      </c>
      <c r="C14" s="445" t="s">
        <v>473</v>
      </c>
      <c r="D14" s="843">
        <v>0</v>
      </c>
      <c r="E14" s="843">
        <v>11.102</v>
      </c>
      <c r="F14" s="446"/>
      <c r="G14" s="873"/>
      <c r="H14" s="879"/>
      <c r="I14" s="447" t="s">
        <v>13</v>
      </c>
      <c r="J14" s="448" t="s">
        <v>85</v>
      </c>
      <c r="K14" s="450">
        <f>IF(OR(ISNUMBER(D12),ISNUMBER(D35)),D12+D35,"")</f>
        <v>1819.2599999999998</v>
      </c>
      <c r="L14" s="450">
        <f>IF(OR(ISNUMBER(E12),ISNUMBER(E35)),E12+E35,"")</f>
        <v>8870.8809999999976</v>
      </c>
      <c r="N14" s="86" t="s">
        <v>335</v>
      </c>
      <c r="O14" s="87" t="s">
        <v>336</v>
      </c>
      <c r="P14" s="29">
        <f>K10</f>
        <v>0.12</v>
      </c>
      <c r="Q14" s="29">
        <f>L10</f>
        <v>7.0000000000000007E-2</v>
      </c>
    </row>
    <row r="15" spans="1:24">
      <c r="A15" s="989"/>
      <c r="B15" s="444" t="s">
        <v>474</v>
      </c>
      <c r="C15" s="445" t="s">
        <v>15</v>
      </c>
      <c r="D15" s="843">
        <v>14.89</v>
      </c>
      <c r="E15" s="843">
        <v>8.9600000000000009</v>
      </c>
      <c r="F15" s="446"/>
      <c r="G15" s="873"/>
      <c r="H15" s="879"/>
      <c r="I15" s="447" t="s">
        <v>14</v>
      </c>
      <c r="J15" s="448" t="s">
        <v>86</v>
      </c>
      <c r="K15" s="450">
        <f>IF(OR(ISNUMBER(D13),ISNUMBER(D14)),D13+D14,"")</f>
        <v>2.5909999999999997</v>
      </c>
      <c r="L15" s="450">
        <f>IF(OR(ISNUMBER(E13),ISNUMBER(E14)),E13+E14,"")</f>
        <v>36.882000000000005</v>
      </c>
      <c r="N15" s="86" t="s">
        <v>337</v>
      </c>
      <c r="O15" s="87" t="s">
        <v>322</v>
      </c>
      <c r="P15" s="29">
        <f>K47</f>
        <v>10929.845000000003</v>
      </c>
      <c r="Q15" s="29">
        <f>L47</f>
        <v>12759.48000000001</v>
      </c>
    </row>
    <row r="16" spans="1:24">
      <c r="A16" s="989"/>
      <c r="B16" s="444" t="s">
        <v>475</v>
      </c>
      <c r="C16" s="445" t="s">
        <v>16</v>
      </c>
      <c r="D16" s="843">
        <v>378.29</v>
      </c>
      <c r="E16" s="843">
        <v>438.74999999999989</v>
      </c>
      <c r="F16" s="446"/>
      <c r="G16" s="873"/>
      <c r="H16" s="879"/>
      <c r="I16" s="447" t="s">
        <v>15</v>
      </c>
      <c r="J16" s="448" t="s">
        <v>87</v>
      </c>
      <c r="K16" s="450">
        <f>IF(ISNUMBER(D15),D15,"")</f>
        <v>14.89</v>
      </c>
      <c r="L16" s="450">
        <f>IF(ISNUMBER(E15),E15,"")</f>
        <v>8.9600000000000009</v>
      </c>
      <c r="N16" s="86" t="s">
        <v>338</v>
      </c>
      <c r="O16" s="87" t="s">
        <v>339</v>
      </c>
      <c r="P16" s="29">
        <f>K48</f>
        <v>25231.578999999983</v>
      </c>
      <c r="Q16" s="29">
        <f>L48</f>
        <v>30109.676000000061</v>
      </c>
    </row>
    <row r="17" spans="1:17">
      <c r="A17" s="989"/>
      <c r="B17" s="451" t="s">
        <v>476</v>
      </c>
      <c r="C17" s="445" t="s">
        <v>477</v>
      </c>
      <c r="D17" s="843">
        <v>43.199999999999996</v>
      </c>
      <c r="E17" s="843">
        <v>62.140000000000008</v>
      </c>
      <c r="F17" s="446"/>
      <c r="G17" s="873"/>
      <c r="H17" s="879"/>
      <c r="I17" s="447" t="s">
        <v>16</v>
      </c>
      <c r="J17" s="448" t="s">
        <v>88</v>
      </c>
      <c r="K17" s="450">
        <f>IF(OR(ISNUMBER(D16),ISNUMBER(D17)),D16+D17,"")</f>
        <v>421.49</v>
      </c>
      <c r="L17" s="450">
        <f>IF(OR(ISNUMBER(E16),ISNUMBER(E17)),E16+E17,"")</f>
        <v>500.88999999999987</v>
      </c>
      <c r="N17" s="86" t="s">
        <v>340</v>
      </c>
      <c r="O17" s="87" t="s">
        <v>341</v>
      </c>
      <c r="P17" s="29">
        <f>K54</f>
        <v>210.64</v>
      </c>
      <c r="Q17" s="29">
        <f>L54</f>
        <v>17399.349999999999</v>
      </c>
    </row>
    <row r="18" spans="1:17">
      <c r="A18" s="989"/>
      <c r="B18" s="452" t="s">
        <v>478</v>
      </c>
      <c r="C18" s="445" t="s">
        <v>17</v>
      </c>
      <c r="D18" s="843">
        <v>15.2</v>
      </c>
      <c r="E18" s="843">
        <v>15.469999999999999</v>
      </c>
      <c r="F18" s="446"/>
      <c r="G18" s="873"/>
      <c r="H18" s="879"/>
      <c r="I18" s="447" t="s">
        <v>17</v>
      </c>
      <c r="J18" s="448" t="s">
        <v>89</v>
      </c>
      <c r="K18" s="450">
        <f>IF(ISNUMBER(D18),D18,"")</f>
        <v>15.2</v>
      </c>
      <c r="L18" s="450">
        <f t="shared" ref="L18:L21" si="2">IF(ISNUMBER(E18),E18,"")</f>
        <v>15.469999999999999</v>
      </c>
      <c r="N18" s="86" t="s">
        <v>342</v>
      </c>
      <c r="O18" s="87" t="s">
        <v>343</v>
      </c>
      <c r="P18" s="29">
        <f>K49</f>
        <v>31.2</v>
      </c>
      <c r="Q18" s="29">
        <f>L49</f>
        <v>36</v>
      </c>
    </row>
    <row r="19" spans="1:17">
      <c r="A19" s="989"/>
      <c r="B19" s="452" t="s">
        <v>479</v>
      </c>
      <c r="C19" s="445" t="s">
        <v>18</v>
      </c>
      <c r="D19" s="843">
        <v>0</v>
      </c>
      <c r="E19" s="843">
        <v>21.86</v>
      </c>
      <c r="F19" s="446"/>
      <c r="G19" s="873"/>
      <c r="H19" s="879"/>
      <c r="I19" s="447" t="s">
        <v>18</v>
      </c>
      <c r="J19" s="448" t="s">
        <v>90</v>
      </c>
      <c r="K19" s="450">
        <f t="shared" ref="K19:K20" si="3">IF(ISNUMBER(D19),D19,"")</f>
        <v>0</v>
      </c>
      <c r="L19" s="450">
        <f t="shared" si="2"/>
        <v>21.86</v>
      </c>
      <c r="N19" s="86" t="s">
        <v>344</v>
      </c>
      <c r="O19" s="87" t="s">
        <v>345</v>
      </c>
      <c r="P19" s="29">
        <f>K38</f>
        <v>6377.5960000000032</v>
      </c>
      <c r="Q19" s="29">
        <f>L38</f>
        <v>7345.5739999999969</v>
      </c>
    </row>
    <row r="20" spans="1:17">
      <c r="A20" s="989"/>
      <c r="B20" s="452" t="s">
        <v>480</v>
      </c>
      <c r="C20" s="445" t="s">
        <v>19</v>
      </c>
      <c r="D20" s="843">
        <v>0</v>
      </c>
      <c r="E20" s="843">
        <v>0</v>
      </c>
      <c r="F20" s="446"/>
      <c r="G20" s="873"/>
      <c r="H20" s="879"/>
      <c r="I20" s="447" t="s">
        <v>19</v>
      </c>
      <c r="J20" s="448" t="s">
        <v>141</v>
      </c>
      <c r="K20" s="450">
        <f t="shared" si="3"/>
        <v>0</v>
      </c>
      <c r="L20" s="450">
        <f t="shared" si="2"/>
        <v>0</v>
      </c>
      <c r="N20" s="86" t="s">
        <v>346</v>
      </c>
      <c r="O20" s="87" t="s">
        <v>347</v>
      </c>
      <c r="P20" s="29">
        <f>K39</f>
        <v>611.02</v>
      </c>
      <c r="Q20" s="29">
        <f>L39</f>
        <v>798.27200000000016</v>
      </c>
    </row>
    <row r="21" spans="1:17">
      <c r="A21" s="989"/>
      <c r="B21" s="453" t="s">
        <v>143</v>
      </c>
      <c r="C21" s="445" t="s">
        <v>142</v>
      </c>
      <c r="D21" s="843">
        <v>0</v>
      </c>
      <c r="E21" s="843">
        <v>0</v>
      </c>
      <c r="F21" s="446"/>
      <c r="G21" s="873"/>
      <c r="H21" s="879"/>
      <c r="I21" s="447" t="s">
        <v>142</v>
      </c>
      <c r="J21" s="448" t="s">
        <v>143</v>
      </c>
      <c r="K21" s="450">
        <f>IF(ISNUMBER(D21),D21,"")</f>
        <v>0</v>
      </c>
      <c r="L21" s="450">
        <f t="shared" si="2"/>
        <v>0</v>
      </c>
      <c r="N21" s="86" t="s">
        <v>348</v>
      </c>
      <c r="O21" s="87" t="s">
        <v>349</v>
      </c>
      <c r="P21" s="29">
        <f>K76</f>
        <v>31.976000000000003</v>
      </c>
      <c r="Q21" s="29">
        <f>L76</f>
        <v>34.897999999999989</v>
      </c>
    </row>
    <row r="22" spans="1:17">
      <c r="A22" s="989"/>
      <c r="B22" s="452" t="s">
        <v>481</v>
      </c>
      <c r="C22" s="445" t="s">
        <v>20</v>
      </c>
      <c r="D22" s="843">
        <v>21.939999999999998</v>
      </c>
      <c r="E22" s="843">
        <v>17.330000000000002</v>
      </c>
      <c r="F22" s="446"/>
      <c r="G22" s="873"/>
      <c r="H22" s="879"/>
      <c r="I22" s="447" t="s">
        <v>20</v>
      </c>
      <c r="J22" s="448" t="s">
        <v>91</v>
      </c>
      <c r="K22" s="450">
        <f>IF(OR(ISNUMBER(D22),ISNUMBER(D89)),D22+D89,"")</f>
        <v>61.3</v>
      </c>
      <c r="L22" s="450">
        <f>IF(OR(ISNUMBER(E22),ISNUMBER(E89)),E22+E89,"")</f>
        <v>38.510000000000005</v>
      </c>
      <c r="N22" s="86" t="s">
        <v>350</v>
      </c>
      <c r="O22" s="87" t="s">
        <v>351</v>
      </c>
      <c r="P22" s="29">
        <f>IF(AND(K34="",K35="",K37="",K79=""),"",SUM(K34:K35,K37,K79))</f>
        <v>3.2749999999999999</v>
      </c>
      <c r="Q22" s="29">
        <f>IF(AND(L34="",L35="",L37="",L79=""),"",SUM(L34:L35,L37,L79))</f>
        <v>11.175000000000001</v>
      </c>
    </row>
    <row r="23" spans="1:17">
      <c r="A23" s="989"/>
      <c r="B23" s="452" t="s">
        <v>482</v>
      </c>
      <c r="C23" s="445" t="s">
        <v>21</v>
      </c>
      <c r="D23" s="843">
        <v>0</v>
      </c>
      <c r="E23" s="843">
        <v>0</v>
      </c>
      <c r="F23" s="446"/>
      <c r="G23" s="873"/>
      <c r="H23" s="879"/>
      <c r="I23" s="447" t="s">
        <v>21</v>
      </c>
      <c r="J23" s="448" t="s">
        <v>144</v>
      </c>
      <c r="K23" s="450">
        <f>IF(ISNUMBER(D23),D23,"")</f>
        <v>0</v>
      </c>
      <c r="L23" s="450">
        <f>IF(ISNUMBER(E23),E23,"")</f>
        <v>0</v>
      </c>
      <c r="N23" s="86" t="s">
        <v>352</v>
      </c>
      <c r="O23" s="87" t="s">
        <v>353</v>
      </c>
      <c r="P23" s="29">
        <f>K77</f>
        <v>210.24</v>
      </c>
      <c r="Q23" s="29">
        <f>L77</f>
        <v>180.49799999999996</v>
      </c>
    </row>
    <row r="24" spans="1:17">
      <c r="A24" s="989"/>
      <c r="B24" s="452" t="s">
        <v>483</v>
      </c>
      <c r="C24" s="445" t="s">
        <v>22</v>
      </c>
      <c r="D24" s="843">
        <v>38.76</v>
      </c>
      <c r="E24" s="843">
        <v>16.2</v>
      </c>
      <c r="F24" s="446"/>
      <c r="G24" s="873"/>
      <c r="H24" s="879"/>
      <c r="I24" s="447" t="s">
        <v>22</v>
      </c>
      <c r="J24" s="448" t="s">
        <v>92</v>
      </c>
      <c r="K24" s="450">
        <f>IF(ISNUMBER(D24),D24,"")</f>
        <v>38.76</v>
      </c>
      <c r="L24" s="450">
        <f>IF(ISNUMBER(E24),E24,"")</f>
        <v>16.2</v>
      </c>
      <c r="N24" s="86" t="s">
        <v>354</v>
      </c>
      <c r="O24" s="87" t="s">
        <v>355</v>
      </c>
      <c r="P24" s="454"/>
      <c r="Q24" s="454"/>
    </row>
    <row r="25" spans="1:17">
      <c r="A25" s="989"/>
      <c r="B25" s="452" t="s">
        <v>484</v>
      </c>
      <c r="C25" s="445" t="s">
        <v>23</v>
      </c>
      <c r="D25" s="843">
        <v>2908.8540000000012</v>
      </c>
      <c r="E25" s="843">
        <v>3542.71</v>
      </c>
      <c r="F25" s="446"/>
      <c r="G25" s="873"/>
      <c r="H25" s="879"/>
      <c r="I25" s="447" t="s">
        <v>23</v>
      </c>
      <c r="J25" s="448" t="s">
        <v>93</v>
      </c>
      <c r="K25" s="450">
        <f>IF(OR(ISNUMBER(D25),ISNUMBER(D82)),D25+D82,"")</f>
        <v>3557.8520000000012</v>
      </c>
      <c r="L25" s="450">
        <f>IF(OR(ISNUMBER(E25),ISNUMBER(E82)),E25+E82,"")</f>
        <v>3663</v>
      </c>
      <c r="N25" s="86" t="s">
        <v>356</v>
      </c>
      <c r="O25" s="87" t="s">
        <v>357</v>
      </c>
      <c r="P25" s="29">
        <f>IF(AND(K67="",K68="",K70="",K72=""),"",SUM(K67:K68,K70,K72))</f>
        <v>9592.0210000000006</v>
      </c>
      <c r="Q25" s="29">
        <f>IF(AND(L67="",L68="",L70="",L72=""),"",SUM(L67:L68,L70,L72))</f>
        <v>11861.152</v>
      </c>
    </row>
    <row r="26" spans="1:17">
      <c r="A26" s="989"/>
      <c r="B26" s="452" t="s">
        <v>485</v>
      </c>
      <c r="C26" s="445" t="s">
        <v>24</v>
      </c>
      <c r="D26" s="843">
        <v>157.47999999999999</v>
      </c>
      <c r="E26" s="843">
        <v>147.29</v>
      </c>
      <c r="F26" s="446"/>
      <c r="G26" s="873"/>
      <c r="H26" s="879"/>
      <c r="I26" s="447" t="s">
        <v>24</v>
      </c>
      <c r="J26" s="448" t="s">
        <v>94</v>
      </c>
      <c r="K26" s="450">
        <f>IF(ISNUMBER(D26),D26,"")</f>
        <v>157.47999999999999</v>
      </c>
      <c r="L26" s="450">
        <f t="shared" ref="L26:L27" si="4">IF(ISNUMBER(E26),E26,"")</f>
        <v>147.29</v>
      </c>
      <c r="N26" s="93"/>
      <c r="O26" s="94" t="s">
        <v>407</v>
      </c>
      <c r="P26" s="30"/>
      <c r="Q26" s="31"/>
    </row>
    <row r="27" spans="1:17">
      <c r="A27" s="989"/>
      <c r="B27" s="452" t="s">
        <v>486</v>
      </c>
      <c r="C27" s="445" t="s">
        <v>25</v>
      </c>
      <c r="D27" s="843">
        <v>0</v>
      </c>
      <c r="E27" s="843">
        <v>0</v>
      </c>
      <c r="F27" s="446"/>
      <c r="G27" s="873"/>
      <c r="H27" s="879"/>
      <c r="I27" s="447" t="s">
        <v>25</v>
      </c>
      <c r="J27" s="448" t="s">
        <v>145</v>
      </c>
      <c r="K27" s="450">
        <f>IF(ISNUMBER(D27),D27,"")</f>
        <v>0</v>
      </c>
      <c r="L27" s="450">
        <f t="shared" si="4"/>
        <v>0</v>
      </c>
      <c r="N27" s="86" t="s">
        <v>358</v>
      </c>
      <c r="O27" s="87" t="s">
        <v>84</v>
      </c>
      <c r="P27" s="29">
        <f>K13</f>
        <v>0</v>
      </c>
      <c r="Q27" s="29">
        <f>L13</f>
        <v>13.79</v>
      </c>
    </row>
    <row r="28" spans="1:17">
      <c r="A28" s="989"/>
      <c r="B28" s="455" t="s">
        <v>487</v>
      </c>
      <c r="C28" s="445" t="s">
        <v>488</v>
      </c>
      <c r="D28" s="843">
        <v>183.90000000000003</v>
      </c>
      <c r="E28" s="843">
        <v>153.31999999999996</v>
      </c>
      <c r="F28" s="446"/>
      <c r="G28" s="873"/>
      <c r="H28" s="879"/>
      <c r="I28" s="447" t="s">
        <v>146</v>
      </c>
      <c r="J28" s="448" t="s">
        <v>147</v>
      </c>
      <c r="K28" s="449"/>
      <c r="L28" s="449"/>
      <c r="N28" s="86" t="s">
        <v>359</v>
      </c>
      <c r="O28" s="87" t="s">
        <v>90</v>
      </c>
      <c r="P28" s="29">
        <f>K19</f>
        <v>0</v>
      </c>
      <c r="Q28" s="29">
        <f>L19</f>
        <v>21.86</v>
      </c>
    </row>
    <row r="29" spans="1:17">
      <c r="A29" s="989"/>
      <c r="B29" s="451" t="s">
        <v>489</v>
      </c>
      <c r="C29" s="445" t="s">
        <v>26</v>
      </c>
      <c r="D29" s="843">
        <v>1E-3</v>
      </c>
      <c r="E29" s="843">
        <v>0.16999999999999998</v>
      </c>
      <c r="F29" s="446"/>
      <c r="G29" s="873"/>
      <c r="H29" s="879"/>
      <c r="I29" s="447" t="s">
        <v>148</v>
      </c>
      <c r="J29" s="448" t="s">
        <v>149</v>
      </c>
      <c r="K29" s="449"/>
      <c r="L29" s="449"/>
      <c r="N29" s="86" t="s">
        <v>360</v>
      </c>
      <c r="O29" s="87" t="s">
        <v>361</v>
      </c>
      <c r="P29" s="29">
        <f>K17</f>
        <v>421.49</v>
      </c>
      <c r="Q29" s="29">
        <f>L17</f>
        <v>500.88999999999987</v>
      </c>
    </row>
    <row r="30" spans="1:17">
      <c r="A30" s="989"/>
      <c r="B30" s="451" t="s">
        <v>490</v>
      </c>
      <c r="C30" s="445" t="s">
        <v>27</v>
      </c>
      <c r="D30" s="843">
        <v>2835.7900000000004</v>
      </c>
      <c r="E30" s="843">
        <v>2632.223</v>
      </c>
      <c r="F30" s="446"/>
      <c r="G30" s="873"/>
      <c r="H30" s="879"/>
      <c r="I30" s="447" t="s">
        <v>26</v>
      </c>
      <c r="J30" s="448" t="s">
        <v>150</v>
      </c>
      <c r="K30" s="450">
        <f>IF(ISNUMBER(D29),D29,"")</f>
        <v>1E-3</v>
      </c>
      <c r="L30" s="450">
        <f>IF(ISNUMBER(E29),E29,"")</f>
        <v>0.16999999999999998</v>
      </c>
      <c r="N30" s="86" t="s">
        <v>362</v>
      </c>
      <c r="O30" s="87" t="s">
        <v>91</v>
      </c>
      <c r="P30" s="29">
        <f>K22</f>
        <v>61.3</v>
      </c>
      <c r="Q30" s="29">
        <f>L22</f>
        <v>38.510000000000005</v>
      </c>
    </row>
    <row r="31" spans="1:17">
      <c r="A31" s="989"/>
      <c r="B31" s="451" t="s">
        <v>491</v>
      </c>
      <c r="C31" s="445" t="s">
        <v>28</v>
      </c>
      <c r="D31" s="843">
        <v>0</v>
      </c>
      <c r="E31" s="843">
        <v>2.2400000000000002</v>
      </c>
      <c r="F31" s="446"/>
      <c r="G31" s="873"/>
      <c r="H31" s="879"/>
      <c r="I31" s="447" t="s">
        <v>27</v>
      </c>
      <c r="J31" s="448" t="s">
        <v>95</v>
      </c>
      <c r="K31" s="450">
        <f>IF(OR(ISNUMBER(D30),ISNUMBER(D34)),D30+D34,"")</f>
        <v>2979.9050000000002</v>
      </c>
      <c r="L31" s="450">
        <f>IF(OR(ISNUMBER(E30),ISNUMBER(E34)),E30+E34,"")</f>
        <v>2718.5009999999997</v>
      </c>
      <c r="N31" s="86" t="s">
        <v>363</v>
      </c>
      <c r="O31" s="87" t="s">
        <v>94</v>
      </c>
      <c r="P31" s="29">
        <f>K26</f>
        <v>157.47999999999999</v>
      </c>
      <c r="Q31" s="29">
        <f>L26</f>
        <v>147.29</v>
      </c>
    </row>
    <row r="32" spans="1:17">
      <c r="A32" s="989"/>
      <c r="B32" s="451" t="s">
        <v>492</v>
      </c>
      <c r="C32" s="445" t="s">
        <v>29</v>
      </c>
      <c r="D32" s="843">
        <v>0</v>
      </c>
      <c r="E32" s="843">
        <v>0</v>
      </c>
      <c r="F32" s="446"/>
      <c r="G32" s="873"/>
      <c r="H32" s="879"/>
      <c r="I32" s="447" t="s">
        <v>28</v>
      </c>
      <c r="J32" s="448" t="s">
        <v>96</v>
      </c>
      <c r="K32" s="450">
        <f>IF(ISNUMBER(D31),D31,"")</f>
        <v>0</v>
      </c>
      <c r="L32" s="450">
        <f>IF(ISNUMBER(E31),E31,"")</f>
        <v>2.2400000000000002</v>
      </c>
      <c r="N32" s="86" t="s">
        <v>364</v>
      </c>
      <c r="O32" s="87" t="s">
        <v>87</v>
      </c>
      <c r="P32" s="29">
        <f>K16</f>
        <v>14.89</v>
      </c>
      <c r="Q32" s="29">
        <f>L16</f>
        <v>8.9600000000000009</v>
      </c>
    </row>
    <row r="33" spans="1:17">
      <c r="A33" s="989"/>
      <c r="B33" s="451" t="s">
        <v>493</v>
      </c>
      <c r="C33" s="445" t="s">
        <v>30</v>
      </c>
      <c r="D33" s="843">
        <v>0</v>
      </c>
      <c r="E33" s="843">
        <v>0</v>
      </c>
      <c r="F33" s="446"/>
      <c r="G33" s="873"/>
      <c r="H33" s="879"/>
      <c r="I33" s="447" t="s">
        <v>29</v>
      </c>
      <c r="J33" s="448" t="s">
        <v>97</v>
      </c>
      <c r="K33" s="450">
        <f>IF(ISNUMBER(D32),D32,"")</f>
        <v>0</v>
      </c>
      <c r="L33" s="450">
        <f>IF(ISNUMBER(E32),E32,"")</f>
        <v>0</v>
      </c>
      <c r="N33" s="86" t="s">
        <v>365</v>
      </c>
      <c r="O33" s="87" t="s">
        <v>145</v>
      </c>
      <c r="P33" s="29">
        <f>K27</f>
        <v>0</v>
      </c>
      <c r="Q33" s="29">
        <f>L27</f>
        <v>0</v>
      </c>
    </row>
    <row r="34" spans="1:17">
      <c r="A34" s="989"/>
      <c r="B34" s="451" t="s">
        <v>494</v>
      </c>
      <c r="C34" s="445" t="s">
        <v>495</v>
      </c>
      <c r="D34" s="843">
        <v>144.11499999999995</v>
      </c>
      <c r="E34" s="843">
        <v>86.277999999999992</v>
      </c>
      <c r="F34" s="446"/>
      <c r="G34" s="873"/>
      <c r="H34" s="879"/>
      <c r="I34" s="447" t="s">
        <v>99</v>
      </c>
      <c r="J34" s="448" t="s">
        <v>98</v>
      </c>
      <c r="K34" s="450">
        <f>IF(ISNUMBER(D38),D38*0.5,"")</f>
        <v>0</v>
      </c>
      <c r="L34" s="450">
        <f>IF(ISNUMBER(E38),E38*0.5,"")</f>
        <v>7.0000000000000007E-2</v>
      </c>
      <c r="N34" s="86" t="s">
        <v>366</v>
      </c>
      <c r="O34" s="87" t="s">
        <v>89</v>
      </c>
      <c r="P34" s="29">
        <f>K18</f>
        <v>15.2</v>
      </c>
      <c r="Q34" s="29">
        <f>L18</f>
        <v>15.469999999999999</v>
      </c>
    </row>
    <row r="35" spans="1:17">
      <c r="A35" s="990"/>
      <c r="B35" s="456" t="s">
        <v>496</v>
      </c>
      <c r="C35" s="194" t="s">
        <v>497</v>
      </c>
      <c r="D35" s="843">
        <v>1819.2599999999998</v>
      </c>
      <c r="E35" s="843">
        <v>8870.8809999999976</v>
      </c>
      <c r="F35" s="446"/>
      <c r="G35" s="873"/>
      <c r="H35" s="879"/>
      <c r="I35" s="447" t="s">
        <v>101</v>
      </c>
      <c r="J35" s="448" t="s">
        <v>100</v>
      </c>
      <c r="K35" s="450">
        <f>IF(ISNUMBER(D38),D38*0.5,"")</f>
        <v>0</v>
      </c>
      <c r="L35" s="450">
        <f>IF(ISNUMBER(E38),E38*0.5,"")</f>
        <v>7.0000000000000007E-2</v>
      </c>
      <c r="N35" s="86" t="s">
        <v>367</v>
      </c>
      <c r="O35" s="87" t="s">
        <v>141</v>
      </c>
      <c r="P35" s="29">
        <f>K20</f>
        <v>0</v>
      </c>
      <c r="Q35" s="29">
        <f>L20</f>
        <v>0</v>
      </c>
    </row>
    <row r="36" spans="1:17">
      <c r="A36" s="988" t="s">
        <v>31</v>
      </c>
      <c r="B36" s="451" t="s">
        <v>498</v>
      </c>
      <c r="C36" s="457" t="s">
        <v>33</v>
      </c>
      <c r="D36" s="843">
        <v>1.1549999999999998</v>
      </c>
      <c r="E36" s="843">
        <v>1.635</v>
      </c>
      <c r="F36" s="446"/>
      <c r="G36" s="874"/>
      <c r="H36" s="880"/>
      <c r="I36" s="447" t="s">
        <v>30</v>
      </c>
      <c r="J36" s="448" t="s">
        <v>151</v>
      </c>
      <c r="K36" s="450">
        <f>IF(ISNUMBER(D33),D33,"")</f>
        <v>0</v>
      </c>
      <c r="L36" s="450">
        <f>IF(ISNUMBER(E33),E33,"")</f>
        <v>0</v>
      </c>
      <c r="N36" s="86" t="s">
        <v>368</v>
      </c>
      <c r="O36" s="87" t="s">
        <v>147</v>
      </c>
      <c r="P36" s="454"/>
      <c r="Q36" s="454"/>
    </row>
    <row r="37" spans="1:17">
      <c r="A37" s="989"/>
      <c r="B37" s="451" t="s">
        <v>499</v>
      </c>
      <c r="C37" s="445" t="s">
        <v>500</v>
      </c>
      <c r="D37" s="843">
        <v>2.12</v>
      </c>
      <c r="E37" s="843">
        <v>9.4</v>
      </c>
      <c r="F37" s="446"/>
      <c r="G37" s="90" t="s">
        <v>31</v>
      </c>
      <c r="H37" s="91" t="s">
        <v>32</v>
      </c>
      <c r="I37" s="447" t="s">
        <v>33</v>
      </c>
      <c r="J37" s="448" t="s">
        <v>102</v>
      </c>
      <c r="K37" s="450">
        <f>IF(ISNUMBER(D36),D36,"")</f>
        <v>1.1549999999999998</v>
      </c>
      <c r="L37" s="450">
        <f>IF(ISNUMBER(E36),E36,"")</f>
        <v>1.635</v>
      </c>
      <c r="N37" s="86" t="s">
        <v>369</v>
      </c>
      <c r="O37" s="87" t="s">
        <v>86</v>
      </c>
      <c r="P37" s="29">
        <f>K15</f>
        <v>2.5909999999999997</v>
      </c>
      <c r="Q37" s="29">
        <f>L15</f>
        <v>36.882000000000005</v>
      </c>
    </row>
    <row r="38" spans="1:17">
      <c r="A38" s="990"/>
      <c r="B38" s="451" t="s">
        <v>501</v>
      </c>
      <c r="C38" s="445" t="s">
        <v>502</v>
      </c>
      <c r="D38" s="843">
        <v>0</v>
      </c>
      <c r="E38" s="843">
        <v>0.14000000000000001</v>
      </c>
      <c r="F38" s="446"/>
      <c r="G38" s="872" t="s">
        <v>34</v>
      </c>
      <c r="H38" s="878" t="s">
        <v>152</v>
      </c>
      <c r="I38" s="447" t="s">
        <v>35</v>
      </c>
      <c r="J38" s="448" t="s">
        <v>103</v>
      </c>
      <c r="K38" s="450">
        <f>IF(OR(ISNUMBER(D39),ISNUMBER(D41)),D39+D41,"")</f>
        <v>6377.5960000000032</v>
      </c>
      <c r="L38" s="450">
        <f>IF(OR(ISNUMBER(E39),ISNUMBER(E41)),E39+E41,"")</f>
        <v>7345.5739999999969</v>
      </c>
      <c r="N38" s="86" t="s">
        <v>370</v>
      </c>
      <c r="O38" s="87" t="s">
        <v>143</v>
      </c>
      <c r="P38" s="29">
        <f>K21</f>
        <v>0</v>
      </c>
      <c r="Q38" s="29">
        <f>L21</f>
        <v>0</v>
      </c>
    </row>
    <row r="39" spans="1:17">
      <c r="A39" s="991" t="s">
        <v>34</v>
      </c>
      <c r="B39" s="451" t="s">
        <v>503</v>
      </c>
      <c r="C39" s="458" t="s">
        <v>35</v>
      </c>
      <c r="D39" s="843">
        <v>2086.900000000001</v>
      </c>
      <c r="E39" s="843">
        <v>1954.5949999999998</v>
      </c>
      <c r="F39" s="446"/>
      <c r="G39" s="874"/>
      <c r="H39" s="880"/>
      <c r="I39" s="447" t="s">
        <v>105</v>
      </c>
      <c r="J39" s="448" t="s">
        <v>104</v>
      </c>
      <c r="K39" s="450">
        <f>IF(OR(ISNUMBER(D40),ISNUMBER(D42)),D40+D42,"")</f>
        <v>611.02</v>
      </c>
      <c r="L39" s="450">
        <f>IF(OR(ISNUMBER(E40),ISNUMBER(E42)),E40+E42,"")</f>
        <v>798.27200000000016</v>
      </c>
      <c r="N39" s="86" t="s">
        <v>371</v>
      </c>
      <c r="O39" s="87" t="s">
        <v>93</v>
      </c>
      <c r="P39" s="29">
        <f>K25</f>
        <v>3557.8520000000012</v>
      </c>
      <c r="Q39" s="29">
        <f>L25</f>
        <v>3663</v>
      </c>
    </row>
    <row r="40" spans="1:17" ht="15" customHeight="1">
      <c r="A40" s="992"/>
      <c r="B40" s="459" t="s">
        <v>504</v>
      </c>
      <c r="C40" s="184" t="s">
        <v>36</v>
      </c>
      <c r="D40" s="843">
        <v>488.26000000000005</v>
      </c>
      <c r="E40" s="843">
        <v>626.66200000000015</v>
      </c>
      <c r="F40" s="446"/>
      <c r="G40" s="872" t="s">
        <v>37</v>
      </c>
      <c r="H40" s="878" t="s">
        <v>153</v>
      </c>
      <c r="I40" s="447" t="s">
        <v>38</v>
      </c>
      <c r="J40" s="448" t="s">
        <v>106</v>
      </c>
      <c r="K40" s="450">
        <f>IF(ISNUMBER(D43),D43,"")</f>
        <v>223.35199999999998</v>
      </c>
      <c r="L40" s="450">
        <f>IF(ISNUMBER(E43),E43,"")</f>
        <v>446.18999999999994</v>
      </c>
      <c r="N40" s="86" t="s">
        <v>372</v>
      </c>
      <c r="O40" s="87" t="s">
        <v>85</v>
      </c>
      <c r="P40" s="29">
        <f>K14</f>
        <v>1819.2599999999998</v>
      </c>
      <c r="Q40" s="29">
        <f>L14</f>
        <v>8870.8809999999976</v>
      </c>
    </row>
    <row r="41" spans="1:17">
      <c r="A41" s="992"/>
      <c r="B41" s="459" t="s">
        <v>505</v>
      </c>
      <c r="C41" s="184" t="s">
        <v>506</v>
      </c>
      <c r="D41" s="843">
        <v>4290.6960000000017</v>
      </c>
      <c r="E41" s="843">
        <v>5390.9789999999966</v>
      </c>
      <c r="F41" s="446"/>
      <c r="G41" s="873"/>
      <c r="H41" s="879"/>
      <c r="I41" s="447" t="s">
        <v>39</v>
      </c>
      <c r="J41" s="448" t="s">
        <v>107</v>
      </c>
      <c r="K41" s="450">
        <f>IF(OR(ISNUMBER(D44),ISNUMBER(D69)),D44+D69,"")</f>
        <v>865.9150000000003</v>
      </c>
      <c r="L41" s="450">
        <f>IF(OR(ISNUMBER(E44),ISNUMBER(E69)),E44+E69,"")</f>
        <v>575.69000000000005</v>
      </c>
      <c r="N41" s="86" t="s">
        <v>373</v>
      </c>
      <c r="O41" s="87" t="s">
        <v>374</v>
      </c>
      <c r="P41" s="29">
        <f t="shared" ref="P41:Q43" si="5">K10</f>
        <v>0.12</v>
      </c>
      <c r="Q41" s="29">
        <f t="shared" si="5"/>
        <v>7.0000000000000007E-2</v>
      </c>
    </row>
    <row r="42" spans="1:17">
      <c r="A42" s="993"/>
      <c r="B42" s="459" t="s">
        <v>507</v>
      </c>
      <c r="C42" s="184" t="s">
        <v>508</v>
      </c>
      <c r="D42" s="843">
        <v>122.75999999999999</v>
      </c>
      <c r="E42" s="843">
        <v>171.60999999999996</v>
      </c>
      <c r="F42" s="446"/>
      <c r="G42" s="873"/>
      <c r="H42" s="879"/>
      <c r="I42" s="447" t="s">
        <v>40</v>
      </c>
      <c r="J42" s="448" t="s">
        <v>108</v>
      </c>
      <c r="K42" s="450">
        <f>IF(OR(ISNUMBER(D45),ISNUMBER(D46)),D45+D46,"")</f>
        <v>13.520000000000001</v>
      </c>
      <c r="L42" s="450">
        <f>IF(OR(ISNUMBER(E45),ISNUMBER(E46)),E45+E46,"")</f>
        <v>35.520000000000003</v>
      </c>
      <c r="N42" s="86" t="s">
        <v>375</v>
      </c>
      <c r="O42" s="87" t="s">
        <v>82</v>
      </c>
      <c r="P42" s="29">
        <f t="shared" si="5"/>
        <v>6761.0579999999945</v>
      </c>
      <c r="Q42" s="29">
        <f t="shared" si="5"/>
        <v>11694.930999999999</v>
      </c>
    </row>
    <row r="43" spans="1:17">
      <c r="A43" s="988" t="s">
        <v>37</v>
      </c>
      <c r="B43" s="451" t="s">
        <v>509</v>
      </c>
      <c r="C43" s="184" t="s">
        <v>38</v>
      </c>
      <c r="D43" s="843">
        <v>223.35199999999998</v>
      </c>
      <c r="E43" s="843">
        <v>446.18999999999994</v>
      </c>
      <c r="F43" s="446"/>
      <c r="G43" s="874"/>
      <c r="H43" s="880"/>
      <c r="I43" s="447" t="s">
        <v>41</v>
      </c>
      <c r="J43" s="448" t="s">
        <v>109</v>
      </c>
      <c r="K43" s="450">
        <f>IF(ISNUMBER(D47),D47,"")</f>
        <v>307.52000000000015</v>
      </c>
      <c r="L43" s="450">
        <f>IF(ISNUMBER(E47),E47,"")</f>
        <v>1017.22</v>
      </c>
      <c r="N43" s="86" t="s">
        <v>376</v>
      </c>
      <c r="O43" s="87" t="s">
        <v>83</v>
      </c>
      <c r="P43" s="29">
        <f t="shared" si="5"/>
        <v>4139.3720000000012</v>
      </c>
      <c r="Q43" s="29">
        <f t="shared" si="5"/>
        <v>3707.9180000000015</v>
      </c>
    </row>
    <row r="44" spans="1:17">
      <c r="A44" s="989"/>
      <c r="B44" s="451" t="s">
        <v>510</v>
      </c>
      <c r="C44" s="184" t="s">
        <v>39</v>
      </c>
      <c r="D44" s="843">
        <v>834.12000000000035</v>
      </c>
      <c r="E44" s="843">
        <v>502.42000000000007</v>
      </c>
      <c r="F44" s="446"/>
      <c r="G44" s="872" t="s">
        <v>42</v>
      </c>
      <c r="H44" s="878" t="s">
        <v>154</v>
      </c>
      <c r="I44" s="447" t="s">
        <v>43</v>
      </c>
      <c r="J44" s="448" t="s">
        <v>110</v>
      </c>
      <c r="K44" s="450">
        <f>IF(OR(ISNUMBER(D48),ISNUMBER(D50)),D48+D50,"")</f>
        <v>519.37</v>
      </c>
      <c r="L44" s="450">
        <f>IF(OR(ISNUMBER(E48),ISNUMBER(E50)),E48+E50,"")</f>
        <v>841.78099999999995</v>
      </c>
      <c r="N44" s="86" t="s">
        <v>377</v>
      </c>
      <c r="O44" s="87" t="s">
        <v>378</v>
      </c>
      <c r="P44" s="29">
        <f>K71</f>
        <v>41513.298999999963</v>
      </c>
      <c r="Q44" s="29">
        <f>L71</f>
        <v>44188.370999999963</v>
      </c>
    </row>
    <row r="45" spans="1:17">
      <c r="A45" s="989"/>
      <c r="B45" s="451" t="s">
        <v>511</v>
      </c>
      <c r="C45" s="184" t="s">
        <v>512</v>
      </c>
      <c r="D45" s="843">
        <v>0</v>
      </c>
      <c r="E45" s="843">
        <v>8.8000000000000007</v>
      </c>
      <c r="F45" s="446"/>
      <c r="G45" s="873"/>
      <c r="H45" s="879"/>
      <c r="I45" s="447" t="s">
        <v>44</v>
      </c>
      <c r="J45" s="448" t="s">
        <v>111</v>
      </c>
      <c r="K45" s="450">
        <f>IF(ISNUMBER(D49),D49,"")</f>
        <v>0</v>
      </c>
      <c r="L45" s="450">
        <f>IF(ISNUMBER(E49),E49,"")</f>
        <v>0.81</v>
      </c>
      <c r="N45" s="86" t="s">
        <v>379</v>
      </c>
      <c r="O45" s="87" t="s">
        <v>176</v>
      </c>
      <c r="P45" s="29">
        <f>K45</f>
        <v>0</v>
      </c>
      <c r="Q45" s="29">
        <f>L45</f>
        <v>0.81</v>
      </c>
    </row>
    <row r="46" spans="1:17">
      <c r="A46" s="989"/>
      <c r="B46" s="451" t="s">
        <v>513</v>
      </c>
      <c r="C46" s="184" t="s">
        <v>40</v>
      </c>
      <c r="D46" s="843">
        <v>13.520000000000001</v>
      </c>
      <c r="E46" s="843">
        <v>26.720000000000002</v>
      </c>
      <c r="F46" s="446"/>
      <c r="G46" s="874"/>
      <c r="H46" s="880"/>
      <c r="I46" s="447" t="s">
        <v>45</v>
      </c>
      <c r="J46" s="448" t="s">
        <v>155</v>
      </c>
      <c r="K46" s="450">
        <f>IF(ISNUMBER(D51),D51,"")</f>
        <v>6.2799999999999994</v>
      </c>
      <c r="L46" s="450">
        <f>IF(ISNUMBER(E51),E51,"")</f>
        <v>5.8800000000000008</v>
      </c>
      <c r="N46" s="86" t="s">
        <v>380</v>
      </c>
      <c r="O46" s="87" t="s">
        <v>381</v>
      </c>
      <c r="P46" s="454"/>
      <c r="Q46" s="454"/>
    </row>
    <row r="47" spans="1:17">
      <c r="A47" s="990"/>
      <c r="B47" s="451" t="s">
        <v>514</v>
      </c>
      <c r="C47" s="184" t="s">
        <v>41</v>
      </c>
      <c r="D47" s="843">
        <v>307.52000000000015</v>
      </c>
      <c r="E47" s="843">
        <v>1017.22</v>
      </c>
      <c r="F47" s="446"/>
      <c r="G47" s="872" t="s">
        <v>46</v>
      </c>
      <c r="H47" s="878" t="s">
        <v>156</v>
      </c>
      <c r="I47" s="447" t="s">
        <v>47</v>
      </c>
      <c r="J47" s="448" t="s">
        <v>112</v>
      </c>
      <c r="K47" s="450">
        <f>IF(OR(ISNUMBER(D52),ISNUMBER(D53),ISNUMBER(D56),ISNUMBER(D57),ISNUMBER(D59)),D52+D53+D56+D57+D59,"")</f>
        <v>10929.845000000003</v>
      </c>
      <c r="L47" s="450">
        <f>IF(OR(ISNUMBER(E52),ISNUMBER(E53),ISNUMBER(E56),ISNUMBER(E57),ISNUMBER(E59)),E52+E53+E56+E57+E59,"")</f>
        <v>12759.48000000001</v>
      </c>
      <c r="N47" s="86" t="s">
        <v>382</v>
      </c>
      <c r="O47" s="87" t="s">
        <v>383</v>
      </c>
      <c r="P47" s="29">
        <f>K55</f>
        <v>5.54</v>
      </c>
      <c r="Q47" s="29">
        <f>L55</f>
        <v>3.01</v>
      </c>
    </row>
    <row r="48" spans="1:17">
      <c r="A48" s="988" t="s">
        <v>42</v>
      </c>
      <c r="B48" s="451" t="s">
        <v>515</v>
      </c>
      <c r="C48" s="184" t="s">
        <v>43</v>
      </c>
      <c r="D48" s="843">
        <v>21.04</v>
      </c>
      <c r="E48" s="843">
        <v>265.44100000000003</v>
      </c>
      <c r="F48" s="446"/>
      <c r="G48" s="873"/>
      <c r="H48" s="879"/>
      <c r="I48" s="447" t="s">
        <v>48</v>
      </c>
      <c r="J48" s="448" t="s">
        <v>157</v>
      </c>
      <c r="K48" s="450">
        <f>IF(OR(ISNUMBER(D54),ISNUMBER(D55)),D54+D55,"")</f>
        <v>25231.578999999983</v>
      </c>
      <c r="L48" s="450">
        <f>IF(OR(ISNUMBER(E54),ISNUMBER(E55)),E54+E55,"")</f>
        <v>30109.676000000061</v>
      </c>
      <c r="N48" s="86" t="s">
        <v>384</v>
      </c>
      <c r="O48" s="87" t="s">
        <v>106</v>
      </c>
      <c r="P48" s="29">
        <f>K40</f>
        <v>223.35199999999998</v>
      </c>
      <c r="Q48" s="29">
        <f>L40</f>
        <v>446.18999999999994</v>
      </c>
    </row>
    <row r="49" spans="1:17">
      <c r="A49" s="989"/>
      <c r="B49" s="451" t="s">
        <v>516</v>
      </c>
      <c r="C49" s="184" t="s">
        <v>44</v>
      </c>
      <c r="D49" s="843">
        <v>0</v>
      </c>
      <c r="E49" s="843">
        <v>0.81</v>
      </c>
      <c r="F49" s="446"/>
      <c r="G49" s="874"/>
      <c r="H49" s="880"/>
      <c r="I49" s="447" t="s">
        <v>49</v>
      </c>
      <c r="J49" s="448" t="s">
        <v>158</v>
      </c>
      <c r="K49" s="450">
        <f>IF(ISNUMBER(D58),D58,"")</f>
        <v>31.2</v>
      </c>
      <c r="L49" s="450">
        <f>IF(ISNUMBER(E58),E58,"")</f>
        <v>36</v>
      </c>
      <c r="N49" s="86" t="s">
        <v>385</v>
      </c>
      <c r="O49" s="87" t="s">
        <v>108</v>
      </c>
      <c r="P49" s="29">
        <f>K42</f>
        <v>13.520000000000001</v>
      </c>
      <c r="Q49" s="29">
        <f>L42</f>
        <v>35.520000000000003</v>
      </c>
    </row>
    <row r="50" spans="1:17" ht="15" customHeight="1">
      <c r="A50" s="989"/>
      <c r="B50" s="451" t="s">
        <v>517</v>
      </c>
      <c r="C50" s="184" t="s">
        <v>518</v>
      </c>
      <c r="D50" s="843">
        <v>498.33000000000004</v>
      </c>
      <c r="E50" s="843">
        <v>576.33999999999992</v>
      </c>
      <c r="F50" s="446"/>
      <c r="G50" s="872" t="s">
        <v>50</v>
      </c>
      <c r="H50" s="878" t="s">
        <v>159</v>
      </c>
      <c r="I50" s="447" t="s">
        <v>51</v>
      </c>
      <c r="J50" s="448" t="s">
        <v>113</v>
      </c>
      <c r="K50" s="450">
        <f>IF(OR(ISNUMBER(D60),ISNUMBER(D63)),D60+D63,"")</f>
        <v>17040.440000000013</v>
      </c>
      <c r="L50" s="450">
        <f>IF(OR(ISNUMBER(E60),ISNUMBER(E63)),E60+E63,"")</f>
        <v>18107.495999999985</v>
      </c>
      <c r="N50" s="86" t="s">
        <v>386</v>
      </c>
      <c r="O50" s="87" t="s">
        <v>107</v>
      </c>
      <c r="P50" s="29">
        <f>K41</f>
        <v>865.9150000000003</v>
      </c>
      <c r="Q50" s="29">
        <f>L41</f>
        <v>575.69000000000005</v>
      </c>
    </row>
    <row r="51" spans="1:17">
      <c r="A51" s="990"/>
      <c r="B51" s="451" t="s">
        <v>519</v>
      </c>
      <c r="C51" s="184" t="s">
        <v>45</v>
      </c>
      <c r="D51" s="843">
        <v>6.2799999999999994</v>
      </c>
      <c r="E51" s="843">
        <v>5.8800000000000008</v>
      </c>
      <c r="F51" s="446"/>
      <c r="G51" s="873"/>
      <c r="H51" s="879"/>
      <c r="I51" s="447" t="s">
        <v>115</v>
      </c>
      <c r="J51" s="448" t="s">
        <v>114</v>
      </c>
      <c r="K51" s="450">
        <f>IF(ISNUMBER(D61),D61,"")</f>
        <v>55914.716999999866</v>
      </c>
      <c r="L51" s="450">
        <f>IF(ISNUMBER(E61),E61,"")</f>
        <v>56916.530999999617</v>
      </c>
      <c r="N51" s="86" t="s">
        <v>387</v>
      </c>
      <c r="O51" s="87" t="s">
        <v>388</v>
      </c>
      <c r="P51" s="454"/>
      <c r="Q51" s="454"/>
    </row>
    <row r="52" spans="1:17">
      <c r="A52" s="995" t="s">
        <v>46</v>
      </c>
      <c r="B52" s="460" t="s">
        <v>520</v>
      </c>
      <c r="C52" s="186" t="s">
        <v>47</v>
      </c>
      <c r="D52" s="843">
        <v>8989.6600000000035</v>
      </c>
      <c r="E52" s="843">
        <v>9825.6090000000095</v>
      </c>
      <c r="F52" s="446"/>
      <c r="G52" s="873"/>
      <c r="H52" s="879"/>
      <c r="I52" s="447" t="s">
        <v>52</v>
      </c>
      <c r="J52" s="448" t="s">
        <v>116</v>
      </c>
      <c r="K52" s="450">
        <f>IF(ISNUMBER(D62),D62*0.5,"")</f>
        <v>599.49</v>
      </c>
      <c r="L52" s="450">
        <f>IF(ISNUMBER(E62),E62*0.5,"")</f>
        <v>418.78999999999996</v>
      </c>
      <c r="N52" s="86" t="s">
        <v>389</v>
      </c>
      <c r="O52" s="87" t="s">
        <v>390</v>
      </c>
      <c r="P52" s="454"/>
      <c r="Q52" s="454"/>
    </row>
    <row r="53" spans="1:17">
      <c r="A53" s="996"/>
      <c r="B53" s="460" t="s">
        <v>521</v>
      </c>
      <c r="C53" s="186" t="s">
        <v>522</v>
      </c>
      <c r="D53" s="838">
        <v>360.20099999999985</v>
      </c>
      <c r="E53" s="838">
        <v>719.79999999999984</v>
      </c>
      <c r="F53" s="446"/>
      <c r="G53" s="874"/>
      <c r="H53" s="880"/>
      <c r="I53" s="447" t="s">
        <v>118</v>
      </c>
      <c r="J53" s="448" t="s">
        <v>117</v>
      </c>
      <c r="K53" s="450">
        <f>IF(ISNUMBER(D62),D62*0.5,"")</f>
        <v>599.49</v>
      </c>
      <c r="L53" s="450">
        <f>IF(ISNUMBER(E62),E62*0.5,"")</f>
        <v>418.78999999999996</v>
      </c>
      <c r="N53" s="86" t="s">
        <v>391</v>
      </c>
      <c r="O53" s="87" t="s">
        <v>392</v>
      </c>
      <c r="P53" s="29">
        <f>K56</f>
        <v>0</v>
      </c>
      <c r="Q53" s="29">
        <f>L56</f>
        <v>30.060000000000002</v>
      </c>
    </row>
    <row r="54" spans="1:17" ht="15" customHeight="1">
      <c r="A54" s="996"/>
      <c r="B54" s="460" t="s">
        <v>523</v>
      </c>
      <c r="C54" s="186" t="s">
        <v>48</v>
      </c>
      <c r="D54" s="838">
        <v>21505.928999999986</v>
      </c>
      <c r="E54" s="838">
        <v>25182.071000000054</v>
      </c>
      <c r="F54" s="446"/>
      <c r="G54" s="872" t="s">
        <v>53</v>
      </c>
      <c r="H54" s="878" t="s">
        <v>54</v>
      </c>
      <c r="I54" s="447" t="s">
        <v>55</v>
      </c>
      <c r="J54" s="461" t="s">
        <v>160</v>
      </c>
      <c r="K54" s="450">
        <f>IF(OR(ISNUMBER(D66),ISNUMBER(D67),ISNUMBER(D68)),D66+D67+D68,"")</f>
        <v>210.64</v>
      </c>
      <c r="L54" s="450">
        <f>IF(OR(ISNUMBER(E66),ISNUMBER(E67),ISNUMBER(E68)),E66+E67+E68,"")</f>
        <v>17399.349999999999</v>
      </c>
      <c r="N54" s="93"/>
      <c r="O54" s="94" t="s">
        <v>405</v>
      </c>
      <c r="P54" s="30"/>
      <c r="Q54" s="31"/>
    </row>
    <row r="55" spans="1:17">
      <c r="A55" s="996"/>
      <c r="B55" s="460" t="s">
        <v>524</v>
      </c>
      <c r="C55" s="186" t="s">
        <v>525</v>
      </c>
      <c r="D55" s="838">
        <v>3725.6499999999974</v>
      </c>
      <c r="E55" s="838">
        <v>4927.6050000000059</v>
      </c>
      <c r="F55" s="446"/>
      <c r="G55" s="873"/>
      <c r="H55" s="879"/>
      <c r="I55" s="447" t="s">
        <v>56</v>
      </c>
      <c r="J55" s="448" t="s">
        <v>161</v>
      </c>
      <c r="K55" s="450">
        <f>IF(ISNUMBER(D70),D70,"")</f>
        <v>5.54</v>
      </c>
      <c r="L55" s="450">
        <f>IF(ISNUMBER(E70),E70,"")</f>
        <v>3.01</v>
      </c>
      <c r="N55" s="86" t="s">
        <v>393</v>
      </c>
      <c r="O55" s="87" t="s">
        <v>394</v>
      </c>
      <c r="P55" s="462"/>
      <c r="Q55" s="462"/>
    </row>
    <row r="56" spans="1:17">
      <c r="A56" s="996"/>
      <c r="B56" s="460" t="s">
        <v>526</v>
      </c>
      <c r="C56" s="186" t="s">
        <v>527</v>
      </c>
      <c r="D56" s="838">
        <v>577.9</v>
      </c>
      <c r="E56" s="838">
        <v>599.44999999999993</v>
      </c>
      <c r="F56" s="446"/>
      <c r="G56" s="873"/>
      <c r="H56" s="879"/>
      <c r="I56" s="447" t="s">
        <v>57</v>
      </c>
      <c r="J56" s="448" t="s">
        <v>162</v>
      </c>
      <c r="K56" s="450">
        <f>IF(ISNUMBER(D71),D71,"")</f>
        <v>0</v>
      </c>
      <c r="L56" s="450">
        <f>IF(ISNUMBER(E71),E71,"")</f>
        <v>30.060000000000002</v>
      </c>
      <c r="N56" s="86" t="s">
        <v>395</v>
      </c>
      <c r="O56" s="87" t="s">
        <v>396</v>
      </c>
      <c r="P56" s="462"/>
      <c r="Q56" s="462"/>
    </row>
    <row r="57" spans="1:17">
      <c r="A57" s="996"/>
      <c r="B57" s="460" t="s">
        <v>528</v>
      </c>
      <c r="C57" s="186" t="s">
        <v>529</v>
      </c>
      <c r="D57" s="838">
        <v>323.42400000000009</v>
      </c>
      <c r="E57" s="838">
        <v>551.32099999999991</v>
      </c>
      <c r="F57" s="446"/>
      <c r="G57" s="873"/>
      <c r="H57" s="879"/>
      <c r="I57" s="447" t="s">
        <v>120</v>
      </c>
      <c r="J57" s="448" t="s">
        <v>119</v>
      </c>
      <c r="K57" s="449"/>
      <c r="L57" s="449"/>
      <c r="N57" s="100"/>
      <c r="O57" s="101" t="s">
        <v>408</v>
      </c>
      <c r="P57" s="33"/>
      <c r="Q57" s="34"/>
    </row>
    <row r="58" spans="1:17">
      <c r="A58" s="996"/>
      <c r="B58" s="460" t="s">
        <v>531</v>
      </c>
      <c r="C58" s="186" t="s">
        <v>49</v>
      </c>
      <c r="D58" s="838">
        <v>31.2</v>
      </c>
      <c r="E58" s="838">
        <v>36</v>
      </c>
      <c r="F58" s="446"/>
      <c r="G58" s="873"/>
      <c r="H58" s="879"/>
      <c r="I58" s="447" t="s">
        <v>122</v>
      </c>
      <c r="J58" s="448" t="s">
        <v>121</v>
      </c>
      <c r="K58" s="449"/>
      <c r="L58" s="449"/>
      <c r="N58" s="447">
        <v>1</v>
      </c>
      <c r="O58" s="453" t="s">
        <v>397</v>
      </c>
      <c r="P58" s="35">
        <f t="shared" ref="P58" si="6">IF(OR(ISNUMBER(K23),ISNUMBER(K24),ISNUMBER(K29),ISNUMBER(K30)),SUM(K23:K24,K29:K30),"")</f>
        <v>38.760999999999996</v>
      </c>
      <c r="Q58" s="35">
        <f>IF(OR(ISNUMBER(L23),ISNUMBER(L24),ISNUMBER(L29),ISNUMBER(L30)),SUM(L23:L24,L29:L30),"")</f>
        <v>16.37</v>
      </c>
    </row>
    <row r="59" spans="1:17">
      <c r="A59" s="997"/>
      <c r="B59" s="463" t="s">
        <v>532</v>
      </c>
      <c r="C59" s="186" t="s">
        <v>533</v>
      </c>
      <c r="D59" s="838">
        <v>678.66</v>
      </c>
      <c r="E59" s="838">
        <v>1063.3000000000006</v>
      </c>
      <c r="F59" s="446"/>
      <c r="G59" s="873"/>
      <c r="H59" s="879"/>
      <c r="I59" s="447" t="s">
        <v>124</v>
      </c>
      <c r="J59" s="448" t="s">
        <v>123</v>
      </c>
      <c r="K59" s="449"/>
      <c r="L59" s="449"/>
      <c r="N59" s="447">
        <v>2</v>
      </c>
      <c r="O59" s="453" t="s">
        <v>398</v>
      </c>
      <c r="P59" s="35">
        <f>IF(OR(ISNUMBER(K31),ISNUMBER(K32),ISNUMBER(K33),ISNUMBER(K36)),SUM(K31:K33,K36),"")</f>
        <v>2979.9050000000002</v>
      </c>
      <c r="Q59" s="35">
        <f>IF(OR(ISNUMBER(L31),ISNUMBER(L32),ISNUMBER(L33),ISNUMBER(L36)),SUM(L31:L33,L36),"")</f>
        <v>2720.7409999999995</v>
      </c>
    </row>
    <row r="60" spans="1:17">
      <c r="A60" s="998" t="s">
        <v>50</v>
      </c>
      <c r="B60" s="451" t="s">
        <v>534</v>
      </c>
      <c r="C60" s="184" t="s">
        <v>51</v>
      </c>
      <c r="D60" s="838">
        <v>3007.48</v>
      </c>
      <c r="E60" s="838">
        <v>3386.8160000000007</v>
      </c>
      <c r="F60" s="446"/>
      <c r="G60" s="873"/>
      <c r="H60" s="879"/>
      <c r="I60" s="447" t="s">
        <v>58</v>
      </c>
      <c r="J60" s="448" t="s">
        <v>136</v>
      </c>
      <c r="K60" s="450">
        <f t="shared" ref="K60:L63" si="7">IF(ISNUMBER(D72),D72,"")</f>
        <v>16.059999999999999</v>
      </c>
      <c r="L60" s="450">
        <f t="shared" si="7"/>
        <v>20.18</v>
      </c>
      <c r="N60" s="447">
        <v>3</v>
      </c>
      <c r="O60" s="453" t="s">
        <v>323</v>
      </c>
      <c r="P60" s="35">
        <f t="shared" ref="P60:Q60" si="8">IF(OR(ISNUMBER(K60),ISNUMBER(K61),ISNUMBER(K62),ISNUMBER(K63)),SUM(K60:K63),"")</f>
        <v>175.77</v>
      </c>
      <c r="Q60" s="35">
        <f t="shared" si="8"/>
        <v>146.47399999999999</v>
      </c>
    </row>
    <row r="61" spans="1:17">
      <c r="A61" s="989"/>
      <c r="B61" s="451" t="s">
        <v>535</v>
      </c>
      <c r="C61" s="184" t="s">
        <v>536</v>
      </c>
      <c r="D61" s="838">
        <v>55914.716999999866</v>
      </c>
      <c r="E61" s="838">
        <v>56916.530999999617</v>
      </c>
      <c r="F61" s="446"/>
      <c r="G61" s="873"/>
      <c r="H61" s="879"/>
      <c r="I61" s="447" t="s">
        <v>59</v>
      </c>
      <c r="J61" s="448" t="s">
        <v>125</v>
      </c>
      <c r="K61" s="450">
        <f t="shared" si="7"/>
        <v>10.56</v>
      </c>
      <c r="L61" s="450">
        <f t="shared" si="7"/>
        <v>22.34</v>
      </c>
      <c r="N61" s="447">
        <v>4</v>
      </c>
      <c r="O61" s="453" t="s">
        <v>159</v>
      </c>
      <c r="P61" s="35">
        <f>IF(OR(ISNUMBER(K50),ISNUMBER(K51),ISNUMBER(K52),ISNUMBER(K53)),SUM(K50:K53),"")</f>
        <v>74154.136999999886</v>
      </c>
      <c r="Q61" s="35">
        <f>IF(OR(ISNUMBER(L49),ISNUMBER(L50),ISNUMBER(L52),ISNUMBER(L53)),SUM(L49:L53),"")</f>
        <v>75897.606999999582</v>
      </c>
    </row>
    <row r="62" spans="1:17">
      <c r="A62" s="989"/>
      <c r="B62" s="451" t="s">
        <v>537</v>
      </c>
      <c r="C62" s="184" t="s">
        <v>52</v>
      </c>
      <c r="D62" s="838">
        <v>1198.98</v>
      </c>
      <c r="E62" s="838">
        <v>837.57999999999993</v>
      </c>
      <c r="F62" s="446"/>
      <c r="G62" s="873"/>
      <c r="H62" s="879"/>
      <c r="I62" s="447" t="s">
        <v>60</v>
      </c>
      <c r="J62" s="461" t="s">
        <v>163</v>
      </c>
      <c r="K62" s="450">
        <f t="shared" si="7"/>
        <v>149.15</v>
      </c>
      <c r="L62" s="450">
        <f t="shared" si="7"/>
        <v>103.94399999999999</v>
      </c>
      <c r="N62" s="447">
        <v>5</v>
      </c>
      <c r="O62" s="461" t="s">
        <v>399</v>
      </c>
      <c r="P62" s="35">
        <f>K64</f>
        <v>4275.378999999999</v>
      </c>
      <c r="Q62" s="35">
        <f>L64</f>
        <v>5042.3990000000049</v>
      </c>
    </row>
    <row r="63" spans="1:17">
      <c r="A63" s="990"/>
      <c r="B63" s="451" t="s">
        <v>538</v>
      </c>
      <c r="C63" s="184" t="s">
        <v>539</v>
      </c>
      <c r="D63" s="838">
        <v>14032.960000000012</v>
      </c>
      <c r="E63" s="838">
        <v>14720.679999999984</v>
      </c>
      <c r="F63" s="446"/>
      <c r="G63" s="874"/>
      <c r="H63" s="880"/>
      <c r="I63" s="447" t="s">
        <v>61</v>
      </c>
      <c r="J63" s="448" t="s">
        <v>126</v>
      </c>
      <c r="K63" s="450">
        <f t="shared" si="7"/>
        <v>0</v>
      </c>
      <c r="L63" s="450">
        <f t="shared" si="7"/>
        <v>0.01</v>
      </c>
      <c r="N63" s="447">
        <v>6</v>
      </c>
      <c r="O63" s="461" t="s">
        <v>530</v>
      </c>
      <c r="P63" s="35">
        <f t="shared" ref="P63:Q63" si="9">K65</f>
        <v>138393.86700000009</v>
      </c>
      <c r="Q63" s="35">
        <f t="shared" si="9"/>
        <v>188980.27599999987</v>
      </c>
    </row>
    <row r="64" spans="1:17">
      <c r="A64" s="988" t="s">
        <v>540</v>
      </c>
      <c r="B64" s="451" t="s">
        <v>541</v>
      </c>
      <c r="C64" s="445" t="s">
        <v>542</v>
      </c>
      <c r="D64" s="119"/>
      <c r="E64" s="119"/>
      <c r="F64" s="446"/>
      <c r="G64" s="872" t="s">
        <v>62</v>
      </c>
      <c r="H64" s="878" t="s">
        <v>164</v>
      </c>
      <c r="I64" s="447" t="s">
        <v>63</v>
      </c>
      <c r="J64" s="448" t="s">
        <v>165</v>
      </c>
      <c r="K64" s="450">
        <f>IF(OR(ISNUMBER(D76),ISNUMBER(D77),ISNUMBER(D78),ISNUMBER(D93)),D76+D77+D78+D93,"")</f>
        <v>4275.378999999999</v>
      </c>
      <c r="L64" s="450">
        <f>IF(OR(ISNUMBER(E76),ISNUMBER(E77),ISNUMBER(E78),ISNUMBER(E93)),E76+E77+E78+E93,"")</f>
        <v>5042.3990000000049</v>
      </c>
      <c r="N64" s="90">
        <v>7</v>
      </c>
      <c r="O64" s="91" t="s">
        <v>463</v>
      </c>
      <c r="P64" s="35">
        <f>IF(OR(ISNUMBER(K66),ISNUMBER(K69)),SUM(K66,K69),"")</f>
        <v>2041.5630000000006</v>
      </c>
      <c r="Q64" s="35">
        <f>IF(OR(ISNUMBER(L66),ISNUMBER(L69)),SUM(L66,L69),"")</f>
        <v>2154.9500000000007</v>
      </c>
    </row>
    <row r="65" spans="1:17">
      <c r="A65" s="990"/>
      <c r="B65" s="451" t="s">
        <v>543</v>
      </c>
      <c r="C65" s="445" t="s">
        <v>544</v>
      </c>
      <c r="D65" s="119"/>
      <c r="E65" s="119"/>
      <c r="F65" s="446"/>
      <c r="G65" s="873"/>
      <c r="H65" s="879"/>
      <c r="I65" s="447" t="s">
        <v>64</v>
      </c>
      <c r="J65" s="448" t="s">
        <v>127</v>
      </c>
      <c r="K65" s="450">
        <f>IF(OR(ISNUMBER(D79),ISNUMBER(D80),ISNUMBER(D81),ISNUMBER(D102),ISNUMBER(D103)),D79+D80+D81+D102+D103,"")</f>
        <v>138393.86700000009</v>
      </c>
      <c r="L65" s="450">
        <f>IF(OR(ISNUMBER(E79),ISNUMBER(E80),ISNUMBER(E81),ISNUMBER(E102),ISNUMBER(E103)),E79+E80+E81+E102+E103,"")</f>
        <v>188980.27599999987</v>
      </c>
      <c r="N65" s="447">
        <v>8</v>
      </c>
      <c r="O65" s="453" t="s">
        <v>133</v>
      </c>
      <c r="P65" s="464" t="str">
        <f>IF(ISNUMBER(K78),K78,"")</f>
        <v/>
      </c>
      <c r="Q65" s="464" t="str">
        <f>IF(ISNUMBER(L78),L78,"")</f>
        <v/>
      </c>
    </row>
    <row r="66" spans="1:17">
      <c r="A66" s="988" t="s">
        <v>53</v>
      </c>
      <c r="B66" s="451" t="s">
        <v>545</v>
      </c>
      <c r="C66" s="184" t="s">
        <v>55</v>
      </c>
      <c r="D66" s="838">
        <v>75.69</v>
      </c>
      <c r="E66" s="838">
        <v>587.04999999999995</v>
      </c>
      <c r="F66" s="446"/>
      <c r="G66" s="873"/>
      <c r="H66" s="879"/>
      <c r="I66" s="447" t="s">
        <v>65</v>
      </c>
      <c r="J66" s="448" t="s">
        <v>166</v>
      </c>
      <c r="K66" s="450">
        <f>IF(ISNUMBER(D83),D83,"")</f>
        <v>33.82</v>
      </c>
      <c r="L66" s="450">
        <f>IF(ISNUMBER(E83),E83,"")</f>
        <v>46.98</v>
      </c>
    </row>
    <row r="67" spans="1:17">
      <c r="A67" s="989"/>
      <c r="B67" s="451" t="s">
        <v>546</v>
      </c>
      <c r="C67" s="184" t="s">
        <v>547</v>
      </c>
      <c r="D67" s="838">
        <v>78.66</v>
      </c>
      <c r="E67" s="838">
        <v>9957.4399999999987</v>
      </c>
      <c r="F67" s="446"/>
      <c r="G67" s="873"/>
      <c r="H67" s="879"/>
      <c r="I67" s="447" t="s">
        <v>66</v>
      </c>
      <c r="J67" s="448" t="s">
        <v>173</v>
      </c>
      <c r="K67" s="450">
        <f>IF(ISNUMBER(D84),D84,"")</f>
        <v>104.42000000000002</v>
      </c>
      <c r="L67" s="450">
        <f>IF(ISNUMBER(E84),E84,"")</f>
        <v>49.009999999999984</v>
      </c>
    </row>
    <row r="68" spans="1:17">
      <c r="A68" s="989"/>
      <c r="B68" s="451" t="s">
        <v>548</v>
      </c>
      <c r="C68" s="184" t="s">
        <v>549</v>
      </c>
      <c r="D68" s="838">
        <v>56.289999999999992</v>
      </c>
      <c r="E68" s="838">
        <v>6854.86</v>
      </c>
      <c r="F68" s="446"/>
      <c r="G68" s="873"/>
      <c r="H68" s="879"/>
      <c r="I68" s="447" t="s">
        <v>67</v>
      </c>
      <c r="J68" s="448" t="s">
        <v>174</v>
      </c>
      <c r="K68" s="450">
        <f>IF(OR(ISNUMBER(D85),ISNUMBER(D86),ISNUMBER(D87),ISNUMBER(D94)),D85+D86+D87+D94,"")</f>
        <v>7359.8300000000008</v>
      </c>
      <c r="L68" s="450">
        <f>IF(OR(ISNUMBER(E85),ISNUMBER(E86),ISNUMBER(E87),ISNUMBER(E94)),E85+E86+E87+E94,"")</f>
        <v>9357.551999999996</v>
      </c>
    </row>
    <row r="69" spans="1:17">
      <c r="A69" s="989"/>
      <c r="B69" s="451" t="s">
        <v>550</v>
      </c>
      <c r="C69" s="184" t="s">
        <v>551</v>
      </c>
      <c r="D69" s="838">
        <v>31.794999999999998</v>
      </c>
      <c r="E69" s="838">
        <v>73.27000000000001</v>
      </c>
      <c r="F69" s="446"/>
      <c r="G69" s="873"/>
      <c r="H69" s="879"/>
      <c r="I69" s="447" t="s">
        <v>68</v>
      </c>
      <c r="J69" s="448" t="s">
        <v>175</v>
      </c>
      <c r="K69" s="450">
        <f>IF(ISNUMBER(D88),D88,"")</f>
        <v>2007.7430000000006</v>
      </c>
      <c r="L69" s="450">
        <f>IF(ISNUMBER(E88),E88,"")</f>
        <v>2107.9700000000007</v>
      </c>
    </row>
    <row r="70" spans="1:17">
      <c r="A70" s="989"/>
      <c r="B70" s="451" t="s">
        <v>552</v>
      </c>
      <c r="C70" s="184" t="s">
        <v>56</v>
      </c>
      <c r="D70" s="838">
        <v>5.54</v>
      </c>
      <c r="E70" s="838">
        <v>3.01</v>
      </c>
      <c r="F70" s="446"/>
      <c r="G70" s="873"/>
      <c r="H70" s="879"/>
      <c r="I70" s="447" t="s">
        <v>128</v>
      </c>
      <c r="J70" s="448" t="s">
        <v>167</v>
      </c>
      <c r="K70" s="465">
        <f t="shared" ref="K70:L72" si="10">IF(ISNUMBER(D90),D90,"")</f>
        <v>2101.3510000000001</v>
      </c>
      <c r="L70" s="465">
        <f t="shared" si="10"/>
        <v>2404.490000000003</v>
      </c>
    </row>
    <row r="71" spans="1:17">
      <c r="A71" s="989"/>
      <c r="B71" s="451" t="s">
        <v>553</v>
      </c>
      <c r="C71" s="184" t="s">
        <v>57</v>
      </c>
      <c r="D71" s="838">
        <v>0</v>
      </c>
      <c r="E71" s="838">
        <v>30.060000000000002</v>
      </c>
      <c r="F71" s="446"/>
      <c r="G71" s="873"/>
      <c r="H71" s="879"/>
      <c r="I71" s="447" t="s">
        <v>69</v>
      </c>
      <c r="J71" s="448" t="s">
        <v>129</v>
      </c>
      <c r="K71" s="450">
        <f t="shared" si="10"/>
        <v>41513.298999999963</v>
      </c>
      <c r="L71" s="450">
        <f t="shared" si="10"/>
        <v>44188.370999999963</v>
      </c>
    </row>
    <row r="72" spans="1:17">
      <c r="A72" s="989"/>
      <c r="B72" s="451" t="s">
        <v>554</v>
      </c>
      <c r="C72" s="184" t="s">
        <v>58</v>
      </c>
      <c r="D72" s="838">
        <v>16.059999999999999</v>
      </c>
      <c r="E72" s="838">
        <v>20.18</v>
      </c>
      <c r="F72" s="446"/>
      <c r="G72" s="874"/>
      <c r="H72" s="880"/>
      <c r="I72" s="447" t="s">
        <v>70</v>
      </c>
      <c r="J72" s="448" t="s">
        <v>168</v>
      </c>
      <c r="K72" s="450">
        <f t="shared" si="10"/>
        <v>26.419999999999995</v>
      </c>
      <c r="L72" s="450">
        <f t="shared" si="10"/>
        <v>50.099999999999987</v>
      </c>
    </row>
    <row r="73" spans="1:17">
      <c r="A73" s="989"/>
      <c r="B73" s="451" t="s">
        <v>555</v>
      </c>
      <c r="C73" s="184" t="s">
        <v>59</v>
      </c>
      <c r="D73" s="838">
        <v>10.56</v>
      </c>
      <c r="E73" s="838">
        <v>22.34</v>
      </c>
      <c r="F73" s="446"/>
      <c r="G73" s="872" t="s">
        <v>71</v>
      </c>
      <c r="H73" s="878" t="s">
        <v>169</v>
      </c>
      <c r="I73" s="447" t="s">
        <v>72</v>
      </c>
      <c r="J73" s="448" t="s">
        <v>170</v>
      </c>
      <c r="K73" s="450">
        <f>IF(OR(ISNUMBER(D95),ISNUMBER(D96),ISNUMBER(D98)),D95+D96+D98,"")</f>
        <v>5557.4410000000144</v>
      </c>
      <c r="L73" s="450">
        <f>IF(OR(ISNUMBER(E95),ISNUMBER(E96),ISNUMBER(E98)),E95+E96+E98,"")</f>
        <v>6215.2310000000143</v>
      </c>
    </row>
    <row r="74" spans="1:17">
      <c r="A74" s="989"/>
      <c r="B74" s="451" t="s">
        <v>556</v>
      </c>
      <c r="C74" s="184" t="s">
        <v>60</v>
      </c>
      <c r="D74" s="838">
        <v>149.15</v>
      </c>
      <c r="E74" s="838">
        <v>103.94399999999999</v>
      </c>
      <c r="F74" s="446"/>
      <c r="G74" s="873"/>
      <c r="H74" s="879"/>
      <c r="I74" s="447" t="s">
        <v>73</v>
      </c>
      <c r="J74" s="448" t="s">
        <v>130</v>
      </c>
      <c r="K74" s="450">
        <f>IF(ISNUMBER(D97),D97,"")</f>
        <v>275.27899999999926</v>
      </c>
      <c r="L74" s="450">
        <f>IF(ISNUMBER(E97),E97,"")</f>
        <v>263.83199999999999</v>
      </c>
    </row>
    <row r="75" spans="1:17">
      <c r="A75" s="990"/>
      <c r="B75" s="451" t="s">
        <v>557</v>
      </c>
      <c r="C75" s="184" t="s">
        <v>61</v>
      </c>
      <c r="D75" s="838">
        <v>0</v>
      </c>
      <c r="E75" s="838">
        <v>0.01</v>
      </c>
      <c r="F75" s="446"/>
      <c r="G75" s="874"/>
      <c r="H75" s="880"/>
      <c r="I75" s="447" t="s">
        <v>74</v>
      </c>
      <c r="J75" s="448" t="s">
        <v>131</v>
      </c>
      <c r="K75" s="450">
        <f>IF(ISNUMBER(D99),D99,"")</f>
        <v>214.43000000000029</v>
      </c>
      <c r="L75" s="450">
        <f>IF(ISNUMBER(E99),E99,"")</f>
        <v>204.23900000000009</v>
      </c>
    </row>
    <row r="76" spans="1:17">
      <c r="A76" s="988" t="s">
        <v>62</v>
      </c>
      <c r="B76" s="456" t="s">
        <v>558</v>
      </c>
      <c r="C76" s="194" t="s">
        <v>63</v>
      </c>
      <c r="D76" s="838">
        <v>792.83299999999883</v>
      </c>
      <c r="E76" s="838">
        <v>1259.9139999999995</v>
      </c>
      <c r="F76" s="446"/>
      <c r="G76" s="872" t="s">
        <v>75</v>
      </c>
      <c r="H76" s="878" t="s">
        <v>76</v>
      </c>
      <c r="I76" s="447" t="s">
        <v>77</v>
      </c>
      <c r="J76" s="461" t="s">
        <v>171</v>
      </c>
      <c r="K76" s="450">
        <f>IF(OR(ISNUMBER(D100),(D104)),D100+D104,"")</f>
        <v>31.976000000000003</v>
      </c>
      <c r="L76" s="450">
        <f>IF(OR(ISNUMBER(E100),(E104)),E100+E104,"")</f>
        <v>34.897999999999989</v>
      </c>
    </row>
    <row r="77" spans="1:17">
      <c r="A77" s="989"/>
      <c r="B77" s="456" t="s">
        <v>559</v>
      </c>
      <c r="C77" s="194" t="s">
        <v>560</v>
      </c>
      <c r="D77" s="838">
        <v>752.49800000000027</v>
      </c>
      <c r="E77" s="838">
        <v>910.85000000000502</v>
      </c>
      <c r="F77" s="446"/>
      <c r="G77" s="873"/>
      <c r="H77" s="879"/>
      <c r="I77" s="447" t="s">
        <v>78</v>
      </c>
      <c r="J77" s="448" t="s">
        <v>132</v>
      </c>
      <c r="K77" s="450">
        <f>IF(OR(ISNUMBER(D28),(D101)),D28+D101,"")</f>
        <v>210.24</v>
      </c>
      <c r="L77" s="450">
        <f>IF(OR(ISNUMBER(E28),(E101)),E28+E101,"")</f>
        <v>180.49799999999996</v>
      </c>
    </row>
    <row r="78" spans="1:17">
      <c r="A78" s="989"/>
      <c r="B78" s="456" t="s">
        <v>561</v>
      </c>
      <c r="C78" s="194" t="s">
        <v>562</v>
      </c>
      <c r="D78" s="838">
        <v>1643.3569999999995</v>
      </c>
      <c r="E78" s="838">
        <v>1739.582000000001</v>
      </c>
      <c r="F78" s="446"/>
      <c r="G78" s="873"/>
      <c r="H78" s="879"/>
      <c r="I78" s="447" t="s">
        <v>134</v>
      </c>
      <c r="J78" s="448" t="s">
        <v>133</v>
      </c>
      <c r="K78" s="465"/>
      <c r="L78" s="465"/>
    </row>
    <row r="79" spans="1:17">
      <c r="A79" s="989"/>
      <c r="B79" s="451" t="s">
        <v>563</v>
      </c>
      <c r="C79" s="184" t="s">
        <v>564</v>
      </c>
      <c r="D79" s="838">
        <v>3784.0719999999992</v>
      </c>
      <c r="E79" s="838">
        <v>2222.8899999999985</v>
      </c>
      <c r="F79" s="446"/>
      <c r="G79" s="874"/>
      <c r="H79" s="880"/>
      <c r="I79" s="447" t="s">
        <v>172</v>
      </c>
      <c r="J79" s="448" t="s">
        <v>135</v>
      </c>
      <c r="K79" s="450">
        <f>IF(ISNUMBER(D37),D37,"")</f>
        <v>2.12</v>
      </c>
      <c r="L79" s="450">
        <f>IF(ISNUMBER(E37),E37,"")</f>
        <v>9.4</v>
      </c>
    </row>
    <row r="80" spans="1:17">
      <c r="A80" s="989"/>
      <c r="B80" s="451" t="s">
        <v>565</v>
      </c>
      <c r="C80" s="466" t="s">
        <v>64</v>
      </c>
      <c r="D80" s="838">
        <v>8955.9000000000015</v>
      </c>
      <c r="E80" s="838">
        <v>7249.9429999999975</v>
      </c>
      <c r="F80" s="446"/>
      <c r="I80" s="436"/>
      <c r="J80" s="436"/>
      <c r="K80" s="436"/>
      <c r="L80" s="436"/>
      <c r="M80" s="437"/>
    </row>
    <row r="81" spans="1:17">
      <c r="A81" s="989"/>
      <c r="B81" s="451" t="s">
        <v>566</v>
      </c>
      <c r="C81" s="184" t="s">
        <v>567</v>
      </c>
      <c r="D81" s="838">
        <v>115470.2260000001</v>
      </c>
      <c r="E81" s="838">
        <v>169922.29699999987</v>
      </c>
      <c r="F81" s="446"/>
      <c r="I81" s="436"/>
      <c r="J81" s="436"/>
      <c r="K81" s="467"/>
      <c r="L81" s="467"/>
      <c r="M81" s="437"/>
    </row>
    <row r="82" spans="1:17">
      <c r="A82" s="989"/>
      <c r="B82" s="451" t="s">
        <v>568</v>
      </c>
      <c r="C82" s="184" t="s">
        <v>569</v>
      </c>
      <c r="D82" s="838">
        <v>648.99800000000005</v>
      </c>
      <c r="E82" s="838">
        <v>120.29000000000002</v>
      </c>
      <c r="F82" s="446"/>
      <c r="M82" s="437"/>
      <c r="P82" s="467"/>
      <c r="Q82" s="467"/>
    </row>
    <row r="83" spans="1:17">
      <c r="A83" s="989"/>
      <c r="B83" s="451" t="s">
        <v>570</v>
      </c>
      <c r="C83" s="184" t="s">
        <v>65</v>
      </c>
      <c r="D83" s="838">
        <v>33.82</v>
      </c>
      <c r="E83" s="838">
        <v>46.98</v>
      </c>
      <c r="F83" s="446"/>
      <c r="M83" s="437"/>
    </row>
    <row r="84" spans="1:17">
      <c r="A84" s="989"/>
      <c r="B84" s="451" t="s">
        <v>571</v>
      </c>
      <c r="C84" s="445" t="s">
        <v>66</v>
      </c>
      <c r="D84" s="838">
        <v>104.42000000000002</v>
      </c>
      <c r="E84" s="838">
        <v>49.009999999999984</v>
      </c>
      <c r="F84" s="446"/>
      <c r="M84" s="437"/>
    </row>
    <row r="85" spans="1:17">
      <c r="A85" s="989"/>
      <c r="B85" s="456" t="s">
        <v>572</v>
      </c>
      <c r="C85" s="194" t="s">
        <v>67</v>
      </c>
      <c r="D85" s="838">
        <v>100.42</v>
      </c>
      <c r="E85" s="838">
        <v>2255.4919999999997</v>
      </c>
      <c r="F85" s="446"/>
      <c r="H85" s="117"/>
      <c r="M85" s="437"/>
    </row>
    <row r="86" spans="1:17">
      <c r="A86" s="989"/>
      <c r="B86" s="456" t="s">
        <v>573</v>
      </c>
      <c r="C86" s="194" t="s">
        <v>574</v>
      </c>
      <c r="D86" s="838">
        <v>6884.1200000000008</v>
      </c>
      <c r="E86" s="838">
        <v>6632.5299999999979</v>
      </c>
      <c r="F86" s="446"/>
      <c r="M86" s="437"/>
    </row>
    <row r="87" spans="1:17">
      <c r="A87" s="989"/>
      <c r="B87" s="456" t="s">
        <v>575</v>
      </c>
      <c r="C87" s="194" t="s">
        <v>576</v>
      </c>
      <c r="D87" s="838">
        <v>165.19</v>
      </c>
      <c r="E87" s="838">
        <v>259.70999999999998</v>
      </c>
      <c r="F87" s="446"/>
      <c r="M87" s="437"/>
    </row>
    <row r="88" spans="1:17">
      <c r="A88" s="989"/>
      <c r="B88" s="456" t="s">
        <v>577</v>
      </c>
      <c r="C88" s="445" t="s">
        <v>68</v>
      </c>
      <c r="D88" s="838">
        <v>2007.7430000000006</v>
      </c>
      <c r="E88" s="838">
        <v>2107.9700000000007</v>
      </c>
      <c r="F88" s="446"/>
      <c r="M88" s="437"/>
    </row>
    <row r="89" spans="1:17">
      <c r="A89" s="989"/>
      <c r="B89" s="451" t="s">
        <v>578</v>
      </c>
      <c r="C89" s="445" t="s">
        <v>579</v>
      </c>
      <c r="D89" s="838">
        <v>39.36</v>
      </c>
      <c r="E89" s="838">
        <v>21.18</v>
      </c>
      <c r="F89" s="446"/>
      <c r="M89" s="437"/>
    </row>
    <row r="90" spans="1:17">
      <c r="A90" s="989"/>
      <c r="B90" s="451" t="s">
        <v>580</v>
      </c>
      <c r="C90" s="184" t="s">
        <v>581</v>
      </c>
      <c r="D90" s="838">
        <v>2101.3510000000001</v>
      </c>
      <c r="E90" s="838">
        <v>2404.490000000003</v>
      </c>
      <c r="F90" s="446"/>
      <c r="M90" s="437"/>
    </row>
    <row r="91" spans="1:17">
      <c r="A91" s="989"/>
      <c r="B91" s="451" t="s">
        <v>582</v>
      </c>
      <c r="C91" s="445" t="s">
        <v>69</v>
      </c>
      <c r="D91" s="838">
        <v>41513.298999999963</v>
      </c>
      <c r="E91" s="838">
        <v>44188.370999999963</v>
      </c>
      <c r="F91" s="446"/>
      <c r="M91" s="437"/>
    </row>
    <row r="92" spans="1:17">
      <c r="A92" s="989"/>
      <c r="B92" s="452" t="s">
        <v>583</v>
      </c>
      <c r="C92" s="445" t="s">
        <v>70</v>
      </c>
      <c r="D92" s="838">
        <v>26.419999999999995</v>
      </c>
      <c r="E92" s="838">
        <v>50.099999999999987</v>
      </c>
      <c r="F92" s="446"/>
      <c r="M92" s="437"/>
    </row>
    <row r="93" spans="1:17">
      <c r="A93" s="989"/>
      <c r="B93" s="468" t="s">
        <v>584</v>
      </c>
      <c r="C93" s="194" t="s">
        <v>585</v>
      </c>
      <c r="D93" s="838">
        <v>1086.691</v>
      </c>
      <c r="E93" s="838">
        <v>1132.0529999999992</v>
      </c>
      <c r="F93" s="446"/>
      <c r="M93" s="437"/>
    </row>
    <row r="94" spans="1:17">
      <c r="A94" s="990"/>
      <c r="B94" s="469" t="s">
        <v>586</v>
      </c>
      <c r="C94" s="466" t="s">
        <v>587</v>
      </c>
      <c r="D94" s="838">
        <v>210.10000000000002</v>
      </c>
      <c r="E94" s="838">
        <v>209.82000000000011</v>
      </c>
      <c r="F94" s="446"/>
      <c r="M94" s="437"/>
    </row>
    <row r="95" spans="1:17">
      <c r="A95" s="988" t="s">
        <v>71</v>
      </c>
      <c r="B95" s="451" t="s">
        <v>588</v>
      </c>
      <c r="C95" s="184" t="s">
        <v>72</v>
      </c>
      <c r="D95" s="838">
        <v>5227.2660000000142</v>
      </c>
      <c r="E95" s="838">
        <v>4494.7200000000175</v>
      </c>
      <c r="F95" s="446"/>
      <c r="M95" s="437"/>
    </row>
    <row r="96" spans="1:17">
      <c r="A96" s="989"/>
      <c r="B96" s="451" t="s">
        <v>589</v>
      </c>
      <c r="C96" s="184" t="s">
        <v>590</v>
      </c>
      <c r="D96" s="838">
        <v>74.806000000000083</v>
      </c>
      <c r="E96" s="838">
        <v>490.28699999999986</v>
      </c>
      <c r="F96" s="446"/>
      <c r="M96" s="437"/>
    </row>
    <row r="97" spans="1:17">
      <c r="A97" s="989"/>
      <c r="B97" s="451" t="s">
        <v>591</v>
      </c>
      <c r="C97" s="184" t="s">
        <v>73</v>
      </c>
      <c r="D97" s="838">
        <v>275.27899999999926</v>
      </c>
      <c r="E97" s="838">
        <v>263.83199999999999</v>
      </c>
      <c r="F97" s="446"/>
      <c r="M97" s="437"/>
    </row>
    <row r="98" spans="1:17">
      <c r="A98" s="989"/>
      <c r="B98" s="451" t="s">
        <v>592</v>
      </c>
      <c r="C98" s="184" t="s">
        <v>593</v>
      </c>
      <c r="D98" s="838">
        <v>255.36899999999997</v>
      </c>
      <c r="E98" s="838">
        <v>1230.223999999997</v>
      </c>
      <c r="F98" s="446"/>
      <c r="M98" s="437"/>
    </row>
    <row r="99" spans="1:17">
      <c r="A99" s="990"/>
      <c r="B99" s="451" t="s">
        <v>594</v>
      </c>
      <c r="C99" s="184" t="s">
        <v>74</v>
      </c>
      <c r="D99" s="838">
        <v>214.43000000000029</v>
      </c>
      <c r="E99" s="838">
        <v>204.23900000000009</v>
      </c>
      <c r="F99" s="446"/>
      <c r="M99" s="437"/>
    </row>
    <row r="100" spans="1:17">
      <c r="A100" s="988" t="s">
        <v>75</v>
      </c>
      <c r="B100" s="451" t="s">
        <v>595</v>
      </c>
      <c r="C100" s="445" t="s">
        <v>77</v>
      </c>
      <c r="D100" s="838">
        <v>19.976000000000003</v>
      </c>
      <c r="E100" s="838">
        <v>33.97699999999999</v>
      </c>
      <c r="F100" s="446"/>
      <c r="M100" s="437"/>
    </row>
    <row r="101" spans="1:17">
      <c r="A101" s="989"/>
      <c r="B101" s="451" t="s">
        <v>596</v>
      </c>
      <c r="C101" s="184" t="s">
        <v>78</v>
      </c>
      <c r="D101" s="838">
        <v>26.339999999999982</v>
      </c>
      <c r="E101" s="838">
        <v>27.177999999999987</v>
      </c>
      <c r="F101" s="446"/>
      <c r="M101" s="437"/>
    </row>
    <row r="102" spans="1:17">
      <c r="A102" s="989"/>
      <c r="B102" s="451" t="s">
        <v>597</v>
      </c>
      <c r="C102" s="184" t="s">
        <v>598</v>
      </c>
      <c r="D102" s="838">
        <v>10078.929000000018</v>
      </c>
      <c r="E102" s="838">
        <v>9491.6460000000006</v>
      </c>
      <c r="F102" s="446"/>
      <c r="M102" s="437"/>
    </row>
    <row r="103" spans="1:17">
      <c r="A103" s="989"/>
      <c r="B103" s="187" t="s">
        <v>599</v>
      </c>
      <c r="C103" s="194" t="s">
        <v>600</v>
      </c>
      <c r="D103" s="838">
        <v>104.74</v>
      </c>
      <c r="E103" s="838">
        <v>93.5</v>
      </c>
      <c r="F103" s="446"/>
      <c r="M103" s="437"/>
    </row>
    <row r="104" spans="1:17">
      <c r="A104" s="994"/>
      <c r="B104" s="470" t="s">
        <v>601</v>
      </c>
      <c r="C104" s="471" t="s">
        <v>602</v>
      </c>
      <c r="D104" s="838">
        <v>12</v>
      </c>
      <c r="E104" s="838">
        <v>0.92100000000000004</v>
      </c>
      <c r="F104" s="446"/>
      <c r="M104" s="437"/>
    </row>
    <row r="105" spans="1:17" s="69" customFormat="1" ht="18.75" customHeight="1">
      <c r="D105" s="109"/>
      <c r="E105" s="110" t="s">
        <v>867</v>
      </c>
      <c r="F105" s="109"/>
      <c r="G105" s="111"/>
      <c r="H105" s="112"/>
      <c r="M105" s="106"/>
      <c r="N105" s="437"/>
      <c r="O105" s="437"/>
      <c r="P105" s="437"/>
      <c r="Q105" s="437"/>
    </row>
    <row r="106" spans="1:17">
      <c r="A106" s="436"/>
      <c r="B106" s="436"/>
      <c r="C106" s="436"/>
      <c r="D106" s="436"/>
      <c r="E106" s="446"/>
      <c r="F106" s="446"/>
      <c r="M106" s="437"/>
      <c r="N106" s="107"/>
      <c r="O106" s="69"/>
      <c r="P106" s="69"/>
      <c r="Q106" s="69"/>
    </row>
    <row r="107" spans="1:17">
      <c r="D107" s="472"/>
      <c r="E107" s="472"/>
      <c r="F107" s="446"/>
      <c r="K107" s="472"/>
      <c r="L107" s="472"/>
      <c r="M107" s="437"/>
    </row>
    <row r="108" spans="1:17" ht="18.75">
      <c r="B108" s="473" t="s">
        <v>847</v>
      </c>
      <c r="F108" s="446"/>
      <c r="M108" s="437"/>
      <c r="P108" s="472"/>
      <c r="Q108" s="472"/>
    </row>
    <row r="109" spans="1:17" ht="25.5">
      <c r="B109" s="844" t="s">
        <v>1022</v>
      </c>
      <c r="F109" s="446"/>
      <c r="M109" s="437"/>
    </row>
    <row r="110" spans="1:17" ht="25.5">
      <c r="B110" s="844" t="s">
        <v>1023</v>
      </c>
      <c r="F110" s="446"/>
      <c r="M110" s="437"/>
    </row>
    <row r="111" spans="1:17" ht="38.25">
      <c r="B111" s="845" t="s">
        <v>1024</v>
      </c>
      <c r="F111" s="446"/>
      <c r="M111" s="437"/>
    </row>
    <row r="112" spans="1:17">
      <c r="B112" s="845" t="s">
        <v>1025</v>
      </c>
      <c r="F112" s="446"/>
      <c r="M112" s="437"/>
    </row>
    <row r="113" spans="2:13">
      <c r="B113" s="38"/>
      <c r="D113" s="446"/>
      <c r="F113" s="446"/>
      <c r="M113" s="437"/>
    </row>
    <row r="114" spans="2:13">
      <c r="B114" s="38"/>
      <c r="E114" s="437"/>
      <c r="F114" s="446"/>
      <c r="M114" s="437"/>
    </row>
    <row r="115" spans="2:13">
      <c r="B115" s="38"/>
      <c r="D115" s="446"/>
      <c r="E115" s="437"/>
      <c r="F115" s="446"/>
      <c r="M115" s="437"/>
    </row>
    <row r="116" spans="2:13">
      <c r="B116" s="38"/>
      <c r="F116" s="446"/>
      <c r="M116" s="437"/>
    </row>
    <row r="117" spans="2:13">
      <c r="B117" s="38"/>
      <c r="F117" s="446"/>
      <c r="M117" s="437"/>
    </row>
    <row r="118" spans="2:13">
      <c r="B118" s="40"/>
      <c r="F118" s="446"/>
      <c r="M118" s="437"/>
    </row>
    <row r="119" spans="2:13">
      <c r="F119" s="446"/>
      <c r="M119" s="437"/>
    </row>
    <row r="120" spans="2:13">
      <c r="F120" s="446"/>
      <c r="M120" s="437"/>
    </row>
    <row r="127" spans="2:13">
      <c r="M127" s="437"/>
    </row>
    <row r="128" spans="2:13">
      <c r="F128" s="437"/>
      <c r="M128" s="437"/>
    </row>
    <row r="129" spans="6:13">
      <c r="F129" s="437"/>
      <c r="M129" s="437"/>
    </row>
  </sheetData>
  <mergeCells count="39">
    <mergeCell ref="A95:A99"/>
    <mergeCell ref="A100:A104"/>
    <mergeCell ref="A52:A59"/>
    <mergeCell ref="A60:A63"/>
    <mergeCell ref="A64:A65"/>
    <mergeCell ref="A66:A75"/>
    <mergeCell ref="A76:A94"/>
    <mergeCell ref="A11:A35"/>
    <mergeCell ref="A36:A38"/>
    <mergeCell ref="A39:A42"/>
    <mergeCell ref="A43:A47"/>
    <mergeCell ref="A48:A51"/>
    <mergeCell ref="P6:Q6"/>
    <mergeCell ref="H8:H10"/>
    <mergeCell ref="D6:E6"/>
    <mergeCell ref="G6:J6"/>
    <mergeCell ref="K6:L6"/>
    <mergeCell ref="N6:O6"/>
    <mergeCell ref="G8:G10"/>
    <mergeCell ref="G13:G36"/>
    <mergeCell ref="G38:G39"/>
    <mergeCell ref="G40:G43"/>
    <mergeCell ref="G44:G46"/>
    <mergeCell ref="G47:G49"/>
    <mergeCell ref="G50:G53"/>
    <mergeCell ref="G54:G63"/>
    <mergeCell ref="G64:G72"/>
    <mergeCell ref="G73:G75"/>
    <mergeCell ref="G76:G79"/>
    <mergeCell ref="H13:H36"/>
    <mergeCell ref="H38:H39"/>
    <mergeCell ref="H40:H43"/>
    <mergeCell ref="H44:H46"/>
    <mergeCell ref="H47:H49"/>
    <mergeCell ref="H50:H53"/>
    <mergeCell ref="H54:H63"/>
    <mergeCell ref="H64:H72"/>
    <mergeCell ref="H73:H75"/>
    <mergeCell ref="H76:H79"/>
  </mergeCells>
  <conditionalFormatting sqref="C3">
    <cfRule type="expression" dxfId="56" priority="3">
      <formula>ISTEXT(C3)</formula>
    </cfRule>
  </conditionalFormatting>
  <conditionalFormatting sqref="D8:E63">
    <cfRule type="expression" dxfId="55" priority="2">
      <formula>ISNUMBER(D8)</formula>
    </cfRule>
  </conditionalFormatting>
  <conditionalFormatting sqref="D66:E104">
    <cfRule type="expression" dxfId="54" priority="1">
      <formula>ISNUMBER(D66)</formula>
    </cfRule>
  </conditionalFormatting>
  <dataValidations count="1">
    <dataValidation type="list" allowBlank="1" showInputMessage="1" showErrorMessage="1" sqref="C3">
      <formula1>"Yes, No"</formula1>
    </dataValidation>
  </dataValidations>
  <hyperlinks>
    <hyperlink ref="B4" location="Instructions_to_users" display="Instructions to users (hyperlink)"/>
  </hyperlinks>
  <pageMargins left="0.7" right="0.7" top="0.75" bottom="0.75" header="0.3" footer="0.3"/>
  <pageSetup paperSize="9" orientation="portrait" verticalDpi="0" r:id="rId1"/>
  <legacyDrawing r:id="rId2"/>
</worksheet>
</file>

<file path=xl/worksheets/sheet9.xml><?xml version="1.0" encoding="utf-8"?>
<worksheet xmlns="http://schemas.openxmlformats.org/spreadsheetml/2006/main" xmlns:r="http://schemas.openxmlformats.org/officeDocument/2006/relationships">
  <sheetPr>
    <tabColor rgb="FF00B050"/>
  </sheetPr>
  <dimension ref="A1:R164"/>
  <sheetViews>
    <sheetView zoomScale="80" zoomScaleNormal="80" workbookViewId="0">
      <pane ySplit="7" topLeftCell="A8" activePane="bottomLeft" state="frozen"/>
      <selection activeCell="E62" sqref="E62"/>
      <selection pane="bottomLeft" activeCell="A8" sqref="A8"/>
    </sheetView>
  </sheetViews>
  <sheetFormatPr defaultRowHeight="12.75"/>
  <cols>
    <col min="1" max="1" width="10" style="526" customWidth="1"/>
    <col min="2" max="2" width="26.28515625" style="528" customWidth="1"/>
    <col min="3" max="3" width="11.85546875" style="525" customWidth="1"/>
    <col min="4" max="4" width="76.42578125" style="527" customWidth="1"/>
    <col min="5" max="6" width="14.28515625" style="527" customWidth="1"/>
    <col min="7" max="7" width="7" style="117" customWidth="1"/>
    <col min="8" max="8" width="7.7109375" style="111" customWidth="1"/>
    <col min="9" max="9" width="20.5703125" style="112" customWidth="1"/>
    <col min="10" max="10" width="9.140625" style="112"/>
    <col min="11" max="11" width="91.5703125" style="112" customWidth="1"/>
    <col min="12" max="13" width="14.28515625" style="525" customWidth="1"/>
    <col min="14" max="14" width="7" style="117" customWidth="1"/>
    <col min="15" max="15" width="9.7109375" style="112" bestFit="1" customWidth="1"/>
    <col min="16" max="16" width="68.85546875" style="112" customWidth="1"/>
    <col min="17" max="16384" width="9.140625" style="112"/>
  </cols>
  <sheetData>
    <row r="1" spans="1:18" s="477" customFormat="1" ht="21.75" thickBot="1">
      <c r="A1" s="475" t="s">
        <v>797</v>
      </c>
      <c r="B1" s="476"/>
      <c r="G1" s="478"/>
      <c r="H1" s="479"/>
      <c r="I1" s="478"/>
      <c r="J1" s="480"/>
      <c r="N1" s="481"/>
      <c r="P1" s="481"/>
    </row>
    <row r="2" spans="1:18" s="52" customFormat="1" ht="15">
      <c r="A2" s="129" t="s">
        <v>671</v>
      </c>
      <c r="B2" s="482"/>
      <c r="G2" s="483" t="s">
        <v>400</v>
      </c>
      <c r="H2" s="484"/>
      <c r="I2" s="245" t="s">
        <v>444</v>
      </c>
      <c r="J2" s="247"/>
      <c r="K2" s="485"/>
      <c r="L2" s="56"/>
      <c r="M2" s="138"/>
    </row>
    <row r="3" spans="1:18" s="52" customFormat="1" ht="18.75">
      <c r="B3" s="213"/>
      <c r="D3" s="141" t="s">
        <v>804</v>
      </c>
      <c r="E3" s="118"/>
      <c r="G3" s="486"/>
      <c r="H3" s="59"/>
      <c r="I3" s="251" t="s">
        <v>672</v>
      </c>
      <c r="J3" s="253"/>
      <c r="K3" s="487"/>
      <c r="L3" s="63"/>
      <c r="M3" s="138"/>
    </row>
    <row r="4" spans="1:18" s="52" customFormat="1" ht="15">
      <c r="B4" s="61" t="s">
        <v>866</v>
      </c>
      <c r="E4" s="257"/>
      <c r="G4" s="486"/>
      <c r="H4" s="62"/>
      <c r="I4" s="251" t="s">
        <v>851</v>
      </c>
      <c r="J4" s="429"/>
      <c r="K4" s="487"/>
      <c r="L4" s="63"/>
      <c r="M4" s="138"/>
    </row>
    <row r="5" spans="1:18" s="52" customFormat="1" ht="16.5" thickBot="1">
      <c r="A5" s="154"/>
      <c r="B5" s="212"/>
      <c r="G5" s="488"/>
      <c r="H5" s="489"/>
      <c r="I5" s="490" t="s">
        <v>785</v>
      </c>
      <c r="J5" s="491"/>
      <c r="K5" s="492"/>
    </row>
    <row r="6" spans="1:18" s="163" customFormat="1" ht="18.75">
      <c r="A6" s="493" t="s">
        <v>414</v>
      </c>
      <c r="B6" s="494"/>
      <c r="C6" s="495"/>
      <c r="D6" s="496"/>
      <c r="E6" s="1009"/>
      <c r="F6" s="1010"/>
      <c r="G6" s="497"/>
      <c r="H6" s="498" t="s">
        <v>402</v>
      </c>
      <c r="I6" s="499"/>
      <c r="J6" s="499"/>
      <c r="K6" s="500"/>
      <c r="L6" s="1011" t="s">
        <v>401</v>
      </c>
      <c r="M6" s="890"/>
      <c r="N6" s="162"/>
      <c r="O6" s="501" t="s">
        <v>403</v>
      </c>
      <c r="P6" s="502"/>
      <c r="Q6" s="883" t="s">
        <v>401</v>
      </c>
      <c r="R6" s="884"/>
    </row>
    <row r="7" spans="1:18" s="509" customFormat="1" ht="25.5">
      <c r="A7" s="503" t="s">
        <v>415</v>
      </c>
      <c r="B7" s="504" t="s">
        <v>416</v>
      </c>
      <c r="C7" s="505" t="s">
        <v>417</v>
      </c>
      <c r="D7" s="506" t="s">
        <v>418</v>
      </c>
      <c r="E7" s="507" t="s">
        <v>668</v>
      </c>
      <c r="F7" s="507" t="s">
        <v>669</v>
      </c>
      <c r="G7" s="167"/>
      <c r="H7" s="75" t="s">
        <v>781</v>
      </c>
      <c r="I7" s="76" t="s">
        <v>409</v>
      </c>
      <c r="J7" s="77" t="s">
        <v>782</v>
      </c>
      <c r="K7" s="76" t="s">
        <v>404</v>
      </c>
      <c r="L7" s="78" t="s">
        <v>668</v>
      </c>
      <c r="M7" s="508" t="s">
        <v>669</v>
      </c>
      <c r="N7" s="167"/>
      <c r="O7" s="79" t="s">
        <v>0</v>
      </c>
      <c r="P7" s="80" t="s">
        <v>406</v>
      </c>
      <c r="Q7" s="81" t="s">
        <v>668</v>
      </c>
      <c r="R7" s="81" t="s">
        <v>669</v>
      </c>
    </row>
    <row r="8" spans="1:18">
      <c r="A8" s="802" t="s">
        <v>3</v>
      </c>
      <c r="B8" s="510" t="s">
        <v>673</v>
      </c>
      <c r="C8" s="511" t="s">
        <v>4</v>
      </c>
      <c r="D8" s="512" t="s">
        <v>79</v>
      </c>
      <c r="E8" s="474">
        <v>561.548</v>
      </c>
      <c r="F8" s="36">
        <v>1373.7139999999999</v>
      </c>
      <c r="H8" s="872" t="s">
        <v>3</v>
      </c>
      <c r="I8" s="875" t="s">
        <v>137</v>
      </c>
      <c r="J8" s="513" t="s">
        <v>4</v>
      </c>
      <c r="K8" s="512" t="s">
        <v>79</v>
      </c>
      <c r="L8" s="514">
        <f>IF(ISNUMBER(E8),E8,"")</f>
        <v>561.548</v>
      </c>
      <c r="M8" s="514">
        <f>IF(ISNUMBER(F8),F8,"")</f>
        <v>1373.7139999999999</v>
      </c>
      <c r="N8" s="515"/>
      <c r="O8" s="86" t="s">
        <v>324</v>
      </c>
      <c r="P8" s="87" t="s">
        <v>325</v>
      </c>
      <c r="Q8" s="88" t="e">
        <f>L73</f>
        <v>#N/A</v>
      </c>
      <c r="R8" s="88">
        <f>M73</f>
        <v>1375.7783600000002</v>
      </c>
    </row>
    <row r="9" spans="1:18">
      <c r="A9" s="516"/>
      <c r="B9" s="517"/>
      <c r="C9" s="513" t="s">
        <v>138</v>
      </c>
      <c r="D9" s="512" t="s">
        <v>674</v>
      </c>
      <c r="E9" s="474" t="e">
        <v>#N/A</v>
      </c>
      <c r="F9" s="36">
        <v>3.0019</v>
      </c>
      <c r="H9" s="873"/>
      <c r="I9" s="876"/>
      <c r="J9" s="513" t="s">
        <v>138</v>
      </c>
      <c r="K9" s="512" t="s">
        <v>139</v>
      </c>
      <c r="L9" s="514" t="str">
        <f t="shared" ref="L9:M16" si="0">IF(ISNUMBER(E9),E9,"")</f>
        <v/>
      </c>
      <c r="M9" s="514">
        <f t="shared" si="0"/>
        <v>3.0019</v>
      </c>
      <c r="N9" s="515"/>
      <c r="O9" s="86" t="s">
        <v>326</v>
      </c>
      <c r="P9" s="87" t="s">
        <v>327</v>
      </c>
      <c r="Q9" s="88" t="str">
        <f>L75</f>
        <v/>
      </c>
      <c r="R9" s="88">
        <f>M75</f>
        <v>11.022</v>
      </c>
    </row>
    <row r="10" spans="1:18">
      <c r="A10" s="518"/>
      <c r="B10" s="519"/>
      <c r="C10" s="513" t="s">
        <v>81</v>
      </c>
      <c r="D10" s="512" t="s">
        <v>422</v>
      </c>
      <c r="E10" s="474">
        <v>15.877000000000001</v>
      </c>
      <c r="F10" s="36">
        <v>13.202999999999999</v>
      </c>
      <c r="H10" s="874"/>
      <c r="I10" s="877"/>
      <c r="J10" s="513" t="s">
        <v>81</v>
      </c>
      <c r="K10" s="512" t="s">
        <v>80</v>
      </c>
      <c r="L10" s="514">
        <f t="shared" si="0"/>
        <v>15.877000000000001</v>
      </c>
      <c r="M10" s="514">
        <f t="shared" si="0"/>
        <v>13.202999999999999</v>
      </c>
      <c r="N10" s="515"/>
      <c r="O10" s="86" t="s">
        <v>328</v>
      </c>
      <c r="P10" s="87" t="s">
        <v>130</v>
      </c>
      <c r="Q10" s="88" t="str">
        <f>L74</f>
        <v/>
      </c>
      <c r="R10" s="88">
        <f>M74</f>
        <v>13.071</v>
      </c>
    </row>
    <row r="11" spans="1:18">
      <c r="A11" s="90" t="s">
        <v>5</v>
      </c>
      <c r="B11" s="91" t="s">
        <v>6</v>
      </c>
      <c r="C11" s="513" t="s">
        <v>7</v>
      </c>
      <c r="D11" s="512" t="s">
        <v>82</v>
      </c>
      <c r="E11" s="474">
        <v>1095.4299999999998</v>
      </c>
      <c r="F11" s="36">
        <v>574.22340000000008</v>
      </c>
      <c r="H11" s="90" t="s">
        <v>5</v>
      </c>
      <c r="I11" s="91" t="s">
        <v>6</v>
      </c>
      <c r="J11" s="513" t="s">
        <v>7</v>
      </c>
      <c r="K11" s="512" t="s">
        <v>82</v>
      </c>
      <c r="L11" s="514">
        <f t="shared" si="0"/>
        <v>1095.4299999999998</v>
      </c>
      <c r="M11" s="514">
        <f t="shared" si="0"/>
        <v>574.22340000000008</v>
      </c>
      <c r="N11" s="515"/>
      <c r="O11" s="86" t="s">
        <v>329</v>
      </c>
      <c r="P11" s="87" t="s">
        <v>330</v>
      </c>
      <c r="Q11" s="88" t="e">
        <f>L44</f>
        <v>#N/A</v>
      </c>
      <c r="R11" s="88">
        <f>M44</f>
        <v>910.096</v>
      </c>
    </row>
    <row r="12" spans="1:18">
      <c r="A12" s="90" t="s">
        <v>8</v>
      </c>
      <c r="B12" s="91" t="s">
        <v>140</v>
      </c>
      <c r="C12" s="513" t="s">
        <v>9</v>
      </c>
      <c r="D12" s="512" t="s">
        <v>675</v>
      </c>
      <c r="E12" s="474">
        <v>45424.819499999998</v>
      </c>
      <c r="F12" s="36">
        <v>42654.412199999999</v>
      </c>
      <c r="H12" s="90" t="s">
        <v>8</v>
      </c>
      <c r="I12" s="91" t="s">
        <v>140</v>
      </c>
      <c r="J12" s="513" t="s">
        <v>9</v>
      </c>
      <c r="K12" s="512" t="s">
        <v>83</v>
      </c>
      <c r="L12" s="514">
        <f t="shared" si="0"/>
        <v>45424.819499999998</v>
      </c>
      <c r="M12" s="514">
        <f t="shared" si="0"/>
        <v>42654.412199999999</v>
      </c>
      <c r="N12" s="515"/>
      <c r="O12" s="86" t="s">
        <v>331</v>
      </c>
      <c r="P12" s="87" t="s">
        <v>332</v>
      </c>
      <c r="Q12" s="88">
        <f>L46</f>
        <v>20.472000000000001</v>
      </c>
      <c r="R12" s="88">
        <f>M46</f>
        <v>18.350000000000001</v>
      </c>
    </row>
    <row r="13" spans="1:18">
      <c r="A13" s="872" t="s">
        <v>10</v>
      </c>
      <c r="B13" s="878" t="s">
        <v>676</v>
      </c>
      <c r="C13" s="511" t="s">
        <v>12</v>
      </c>
      <c r="D13" s="512" t="s">
        <v>84</v>
      </c>
      <c r="E13" s="474">
        <v>5.01</v>
      </c>
      <c r="F13" s="36">
        <v>9.4E-2</v>
      </c>
      <c r="H13" s="872" t="s">
        <v>10</v>
      </c>
      <c r="I13" s="878" t="s">
        <v>11</v>
      </c>
      <c r="J13" s="513" t="s">
        <v>12</v>
      </c>
      <c r="K13" s="512" t="s">
        <v>84</v>
      </c>
      <c r="L13" s="514">
        <f t="shared" si="0"/>
        <v>5.01</v>
      </c>
      <c r="M13" s="514">
        <f t="shared" si="0"/>
        <v>9.4E-2</v>
      </c>
      <c r="N13" s="515"/>
      <c r="O13" s="86" t="s">
        <v>333</v>
      </c>
      <c r="P13" s="87" t="s">
        <v>334</v>
      </c>
      <c r="Q13" s="454"/>
      <c r="R13" s="454"/>
    </row>
    <row r="14" spans="1:18">
      <c r="A14" s="873"/>
      <c r="B14" s="879"/>
      <c r="C14" s="513" t="s">
        <v>13</v>
      </c>
      <c r="D14" s="512" t="s">
        <v>677</v>
      </c>
      <c r="E14" s="474">
        <v>8.32</v>
      </c>
      <c r="F14" s="36">
        <v>10.925000000000001</v>
      </c>
      <c r="H14" s="873"/>
      <c r="I14" s="879"/>
      <c r="J14" s="513" t="s">
        <v>13</v>
      </c>
      <c r="K14" s="512" t="s">
        <v>85</v>
      </c>
      <c r="L14" s="514">
        <f t="shared" si="0"/>
        <v>8.32</v>
      </c>
      <c r="M14" s="514">
        <f t="shared" si="0"/>
        <v>10.925000000000001</v>
      </c>
      <c r="N14" s="515"/>
      <c r="O14" s="86" t="s">
        <v>335</v>
      </c>
      <c r="P14" s="87" t="s">
        <v>336</v>
      </c>
      <c r="Q14" s="454"/>
      <c r="R14" s="454"/>
    </row>
    <row r="15" spans="1:18">
      <c r="A15" s="873"/>
      <c r="B15" s="879"/>
      <c r="C15" s="511" t="s">
        <v>14</v>
      </c>
      <c r="D15" s="512" t="s">
        <v>678</v>
      </c>
      <c r="E15" s="474">
        <v>35.762599999999999</v>
      </c>
      <c r="F15" s="36">
        <v>87.33850000000001</v>
      </c>
      <c r="H15" s="873"/>
      <c r="I15" s="879"/>
      <c r="J15" s="513" t="s">
        <v>14</v>
      </c>
      <c r="K15" s="512" t="s">
        <v>86</v>
      </c>
      <c r="L15" s="514">
        <f t="shared" si="0"/>
        <v>35.762599999999999</v>
      </c>
      <c r="M15" s="514">
        <f t="shared" si="0"/>
        <v>87.33850000000001</v>
      </c>
      <c r="N15" s="515"/>
      <c r="O15" s="86" t="s">
        <v>337</v>
      </c>
      <c r="P15" s="87" t="s">
        <v>322</v>
      </c>
      <c r="Q15" s="88">
        <f>L47</f>
        <v>52272.143780000006</v>
      </c>
      <c r="R15" s="88">
        <f>M47</f>
        <v>51159.365189999997</v>
      </c>
    </row>
    <row r="16" spans="1:18">
      <c r="A16" s="873"/>
      <c r="B16" s="879"/>
      <c r="C16" s="513" t="s">
        <v>15</v>
      </c>
      <c r="D16" s="512" t="s">
        <v>679</v>
      </c>
      <c r="E16" s="474">
        <v>7.85</v>
      </c>
      <c r="F16" s="36">
        <v>5.25</v>
      </c>
      <c r="H16" s="873"/>
      <c r="I16" s="879"/>
      <c r="J16" s="513" t="s">
        <v>15</v>
      </c>
      <c r="K16" s="512" t="s">
        <v>87</v>
      </c>
      <c r="L16" s="514">
        <f t="shared" si="0"/>
        <v>7.85</v>
      </c>
      <c r="M16" s="514">
        <f t="shared" si="0"/>
        <v>5.25</v>
      </c>
      <c r="N16" s="515"/>
      <c r="O16" s="86" t="s">
        <v>338</v>
      </c>
      <c r="P16" s="87" t="s">
        <v>339</v>
      </c>
      <c r="Q16" s="88">
        <f>L48</f>
        <v>29846.110619999999</v>
      </c>
      <c r="R16" s="88">
        <f>M48</f>
        <v>23961.438100000003</v>
      </c>
    </row>
    <row r="17" spans="1:18">
      <c r="A17" s="873"/>
      <c r="B17" s="879"/>
      <c r="C17" s="513" t="s">
        <v>16</v>
      </c>
      <c r="D17" s="512" t="s">
        <v>680</v>
      </c>
      <c r="E17" s="474">
        <v>31.606999999999999</v>
      </c>
      <c r="F17" s="36">
        <v>43.81</v>
      </c>
      <c r="H17" s="873"/>
      <c r="I17" s="879"/>
      <c r="J17" s="513" t="s">
        <v>16</v>
      </c>
      <c r="K17" s="512" t="s">
        <v>88</v>
      </c>
      <c r="L17" s="514" t="e">
        <f>IF(OR(ISNUMBER(E17),ISNUMBER(E18)),E17+E18,"")</f>
        <v>#N/A</v>
      </c>
      <c r="M17" s="514" t="e">
        <f>IF(OR(ISNUMBER(F17),ISNUMBER(F18)),F17+F18,"")</f>
        <v>#N/A</v>
      </c>
      <c r="N17" s="515"/>
      <c r="O17" s="86" t="s">
        <v>340</v>
      </c>
      <c r="P17" s="87" t="s">
        <v>341</v>
      </c>
      <c r="Q17" s="88" t="e">
        <f>L54</f>
        <v>#N/A</v>
      </c>
      <c r="R17" s="88">
        <f>M54</f>
        <v>23.697500000000002</v>
      </c>
    </row>
    <row r="18" spans="1:18">
      <c r="A18" s="873"/>
      <c r="B18" s="879"/>
      <c r="C18" s="513" t="s">
        <v>477</v>
      </c>
      <c r="D18" s="512" t="s">
        <v>681</v>
      </c>
      <c r="E18" s="474" t="e">
        <v>#N/A</v>
      </c>
      <c r="F18" s="36" t="e">
        <v>#N/A</v>
      </c>
      <c r="H18" s="873"/>
      <c r="I18" s="879"/>
      <c r="J18" s="513" t="s">
        <v>17</v>
      </c>
      <c r="K18" s="512" t="s">
        <v>89</v>
      </c>
      <c r="L18" s="514" t="e">
        <f>IF(OR(ISNUMBER(E19),ISNUMBER(E20)),E19+E20,"")</f>
        <v>#N/A</v>
      </c>
      <c r="M18" s="514" t="e">
        <f>IF(OR(ISNUMBER(F19),ISNUMBER(F20)),F19+F20,"")</f>
        <v>#N/A</v>
      </c>
      <c r="N18" s="515"/>
      <c r="O18" s="86" t="s">
        <v>342</v>
      </c>
      <c r="P18" s="87" t="s">
        <v>343</v>
      </c>
      <c r="Q18" s="88">
        <f>L49</f>
        <v>0.7</v>
      </c>
      <c r="R18" s="88">
        <f>M49</f>
        <v>61.278999999999996</v>
      </c>
    </row>
    <row r="19" spans="1:18">
      <c r="A19" s="873"/>
      <c r="B19" s="879"/>
      <c r="C19" s="513" t="s">
        <v>17</v>
      </c>
      <c r="D19" s="512" t="s">
        <v>682</v>
      </c>
      <c r="E19" s="474">
        <v>0.87</v>
      </c>
      <c r="F19" s="36">
        <v>0.94700000000000006</v>
      </c>
      <c r="H19" s="873"/>
      <c r="I19" s="879"/>
      <c r="J19" s="513" t="s">
        <v>18</v>
      </c>
      <c r="K19" s="512" t="s">
        <v>90</v>
      </c>
      <c r="L19" s="514">
        <f>IF(ISNUMBER(E21),E21,"")</f>
        <v>0.01</v>
      </c>
      <c r="M19" s="514">
        <f>IF(ISNUMBER(F21),F21,"")</f>
        <v>7.0000000000000001E-3</v>
      </c>
      <c r="N19" s="515"/>
      <c r="O19" s="86" t="s">
        <v>344</v>
      </c>
      <c r="P19" s="87" t="s">
        <v>345</v>
      </c>
      <c r="Q19" s="88">
        <f>L38</f>
        <v>572.17549999999994</v>
      </c>
      <c r="R19" s="88">
        <f>M38</f>
        <v>1255.2650000000001</v>
      </c>
    </row>
    <row r="20" spans="1:18">
      <c r="A20" s="873"/>
      <c r="B20" s="879"/>
      <c r="C20" s="513" t="s">
        <v>683</v>
      </c>
      <c r="D20" s="512" t="s">
        <v>684</v>
      </c>
      <c r="E20" s="474" t="e">
        <v>#N/A</v>
      </c>
      <c r="F20" s="36" t="e">
        <v>#N/A</v>
      </c>
      <c r="H20" s="873"/>
      <c r="I20" s="879"/>
      <c r="J20" s="513" t="s">
        <v>19</v>
      </c>
      <c r="K20" s="512" t="s">
        <v>141</v>
      </c>
      <c r="L20" s="514">
        <f t="shared" ref="L20:M23" si="1">IF(ISNUMBER(E22),E22,"")</f>
        <v>19.579999999999998</v>
      </c>
      <c r="M20" s="514">
        <f t="shared" si="1"/>
        <v>0.24</v>
      </c>
      <c r="N20" s="515"/>
      <c r="O20" s="86" t="s">
        <v>346</v>
      </c>
      <c r="P20" s="87" t="s">
        <v>347</v>
      </c>
      <c r="Q20" s="88">
        <f>L39</f>
        <v>437.24840000000006</v>
      </c>
      <c r="R20" s="88">
        <f>M39</f>
        <v>494.86633</v>
      </c>
    </row>
    <row r="21" spans="1:18">
      <c r="A21" s="873"/>
      <c r="B21" s="879"/>
      <c r="C21" s="513" t="s">
        <v>18</v>
      </c>
      <c r="D21" s="512" t="s">
        <v>685</v>
      </c>
      <c r="E21" s="474">
        <v>0.01</v>
      </c>
      <c r="F21" s="36">
        <v>7.0000000000000001E-3</v>
      </c>
      <c r="H21" s="873"/>
      <c r="I21" s="879"/>
      <c r="J21" s="513" t="s">
        <v>142</v>
      </c>
      <c r="K21" s="512" t="s">
        <v>143</v>
      </c>
      <c r="L21" s="514" t="str">
        <f t="shared" si="1"/>
        <v/>
      </c>
      <c r="M21" s="514" t="str">
        <f t="shared" si="1"/>
        <v/>
      </c>
      <c r="N21" s="515"/>
      <c r="O21" s="86" t="s">
        <v>348</v>
      </c>
      <c r="P21" s="87" t="s">
        <v>349</v>
      </c>
      <c r="Q21" s="88">
        <f>L76</f>
        <v>182.98432</v>
      </c>
      <c r="R21" s="88">
        <f>M76</f>
        <v>119.33240000000001</v>
      </c>
    </row>
    <row r="22" spans="1:18">
      <c r="A22" s="873"/>
      <c r="B22" s="879"/>
      <c r="C22" s="513" t="s">
        <v>19</v>
      </c>
      <c r="D22" s="512" t="s">
        <v>686</v>
      </c>
      <c r="E22" s="474">
        <v>19.579999999999998</v>
      </c>
      <c r="F22" s="36">
        <v>0.24</v>
      </c>
      <c r="H22" s="873"/>
      <c r="I22" s="879"/>
      <c r="J22" s="513" t="s">
        <v>20</v>
      </c>
      <c r="K22" s="512" t="s">
        <v>91</v>
      </c>
      <c r="L22" s="514">
        <f t="shared" si="1"/>
        <v>9.4E-2</v>
      </c>
      <c r="M22" s="514">
        <f t="shared" si="1"/>
        <v>0.311</v>
      </c>
      <c r="N22" s="515"/>
      <c r="O22" s="86" t="s">
        <v>350</v>
      </c>
      <c r="P22" s="87" t="s">
        <v>351</v>
      </c>
      <c r="Q22" s="29" t="e">
        <f>IF(AND(L34="",L35="",L37="",L79=""),"",SUM(L34:L35,L37,L79))</f>
        <v>#N/A</v>
      </c>
      <c r="R22" s="29" t="e">
        <f>IF(AND(M34="",M35="",M37="",M79=""),"",SUM(M34:M35,M37,M79))</f>
        <v>#N/A</v>
      </c>
    </row>
    <row r="23" spans="1:18">
      <c r="A23" s="873"/>
      <c r="B23" s="879"/>
      <c r="C23" s="511" t="s">
        <v>142</v>
      </c>
      <c r="D23" s="512" t="s">
        <v>687</v>
      </c>
      <c r="E23" s="474" t="e">
        <v>#N/A</v>
      </c>
      <c r="F23" s="36" t="e">
        <v>#N/A</v>
      </c>
      <c r="H23" s="873"/>
      <c r="I23" s="879"/>
      <c r="J23" s="513" t="s">
        <v>21</v>
      </c>
      <c r="K23" s="512" t="s">
        <v>144</v>
      </c>
      <c r="L23" s="514">
        <f t="shared" si="1"/>
        <v>4.4999999999999998E-2</v>
      </c>
      <c r="M23" s="514">
        <f t="shared" si="1"/>
        <v>7.4999999999999997E-2</v>
      </c>
      <c r="N23" s="515"/>
      <c r="O23" s="86" t="s">
        <v>352</v>
      </c>
      <c r="P23" s="87" t="s">
        <v>353</v>
      </c>
      <c r="Q23" s="29">
        <f t="shared" ref="Q23:R23" si="2">L77</f>
        <v>11.335000000000001</v>
      </c>
      <c r="R23" s="29">
        <f t="shared" si="2"/>
        <v>24.273999999999997</v>
      </c>
    </row>
    <row r="24" spans="1:18">
      <c r="A24" s="873"/>
      <c r="B24" s="879"/>
      <c r="C24" s="513" t="s">
        <v>20</v>
      </c>
      <c r="D24" s="512" t="s">
        <v>91</v>
      </c>
      <c r="E24" s="474">
        <v>9.4E-2</v>
      </c>
      <c r="F24" s="36">
        <v>0.311</v>
      </c>
      <c r="H24" s="873"/>
      <c r="I24" s="879"/>
      <c r="J24" s="513" t="s">
        <v>22</v>
      </c>
      <c r="K24" s="512" t="s">
        <v>92</v>
      </c>
      <c r="L24" s="514" t="e">
        <f>IF(OR(ISNUMBER(E26),ISNUMBER(E27)),E26+E27,"")</f>
        <v>#N/A</v>
      </c>
      <c r="M24" s="514">
        <f>IF(OR(ISNUMBER(F26),ISNUMBER(F27)),F26+F27,"")</f>
        <v>2.7070000000000003</v>
      </c>
      <c r="N24" s="515"/>
      <c r="O24" s="86" t="s">
        <v>354</v>
      </c>
      <c r="P24" s="87" t="s">
        <v>355</v>
      </c>
      <c r="Q24" s="29">
        <f t="shared" ref="Q24:R24" si="3">L8</f>
        <v>561.548</v>
      </c>
      <c r="R24" s="29">
        <f t="shared" si="3"/>
        <v>1373.7139999999999</v>
      </c>
    </row>
    <row r="25" spans="1:18">
      <c r="A25" s="873"/>
      <c r="B25" s="879"/>
      <c r="C25" s="513" t="s">
        <v>21</v>
      </c>
      <c r="D25" s="512" t="s">
        <v>144</v>
      </c>
      <c r="E25" s="474">
        <v>4.4999999999999998E-2</v>
      </c>
      <c r="F25" s="36">
        <v>7.4999999999999997E-2</v>
      </c>
      <c r="H25" s="873"/>
      <c r="I25" s="879"/>
      <c r="J25" s="513" t="s">
        <v>23</v>
      </c>
      <c r="K25" s="512" t="s">
        <v>93</v>
      </c>
      <c r="L25" s="514">
        <f>IF(OR(ISNUMBER(E28),ISNUMBER(E29)),E28+E29,"")</f>
        <v>449.29300000000001</v>
      </c>
      <c r="M25" s="514">
        <f>IF(OR(ISNUMBER(F28),ISNUMBER(F29)),F28+F29,"")</f>
        <v>591.15300000000002</v>
      </c>
      <c r="N25" s="515"/>
      <c r="O25" s="86" t="s">
        <v>356</v>
      </c>
      <c r="P25" s="87" t="s">
        <v>357</v>
      </c>
      <c r="Q25" s="29">
        <f>IF(AND(L67="",L68="",L70="",L72=""),"",SUM(L67:L68,L70,L72))</f>
        <v>8752.5922600000013</v>
      </c>
      <c r="R25" s="29">
        <f>IF(AND(M67="",M68="",M70="",M72=""),"",SUM(M67:M68,M70,M72))</f>
        <v>6447.880000000001</v>
      </c>
    </row>
    <row r="26" spans="1:18">
      <c r="A26" s="873"/>
      <c r="B26" s="879"/>
      <c r="C26" s="511" t="s">
        <v>22</v>
      </c>
      <c r="D26" s="512" t="s">
        <v>92</v>
      </c>
      <c r="E26" s="474">
        <v>8.31</v>
      </c>
      <c r="F26" s="36">
        <v>2.2000000000000002</v>
      </c>
      <c r="H26" s="873"/>
      <c r="I26" s="879"/>
      <c r="J26" s="513" t="s">
        <v>24</v>
      </c>
      <c r="K26" s="512" t="s">
        <v>94</v>
      </c>
      <c r="L26" s="514">
        <f>IF(ISNUMBER(E30),E30,"")</f>
        <v>348.42499999999995</v>
      </c>
      <c r="M26" s="514">
        <f>IF(ISNUMBER(F30),F30,"")</f>
        <v>321.53300000000002</v>
      </c>
      <c r="O26" s="93"/>
      <c r="P26" s="409" t="s">
        <v>407</v>
      </c>
      <c r="Q26" s="33"/>
      <c r="R26" s="33"/>
    </row>
    <row r="27" spans="1:18">
      <c r="A27" s="873"/>
      <c r="B27" s="879"/>
      <c r="C27" s="511" t="s">
        <v>688</v>
      </c>
      <c r="D27" s="512" t="s">
        <v>689</v>
      </c>
      <c r="E27" s="474" t="e">
        <v>#N/A</v>
      </c>
      <c r="F27" s="36">
        <v>0.50700000000000001</v>
      </c>
      <c r="H27" s="873"/>
      <c r="I27" s="879"/>
      <c r="J27" s="513" t="s">
        <v>25</v>
      </c>
      <c r="K27" s="512" t="s">
        <v>145</v>
      </c>
      <c r="L27" s="514" t="str">
        <f t="shared" ref="L27:M37" si="4">IF(ISNUMBER(E31),E31,"")</f>
        <v/>
      </c>
      <c r="M27" s="514" t="str">
        <f t="shared" si="4"/>
        <v/>
      </c>
      <c r="N27" s="515"/>
      <c r="O27" s="86" t="s">
        <v>358</v>
      </c>
      <c r="P27" s="410" t="s">
        <v>84</v>
      </c>
      <c r="Q27" s="88">
        <f>L13</f>
        <v>5.01</v>
      </c>
      <c r="R27" s="88">
        <f>M13</f>
        <v>9.4E-2</v>
      </c>
    </row>
    <row r="28" spans="1:18">
      <c r="A28" s="873"/>
      <c r="B28" s="879"/>
      <c r="C28" s="513" t="s">
        <v>23</v>
      </c>
      <c r="D28" s="512" t="s">
        <v>690</v>
      </c>
      <c r="E28" s="474">
        <v>447.53300000000002</v>
      </c>
      <c r="F28" s="36">
        <v>586.02800000000002</v>
      </c>
      <c r="H28" s="873"/>
      <c r="I28" s="879"/>
      <c r="J28" s="513" t="s">
        <v>146</v>
      </c>
      <c r="K28" s="512" t="s">
        <v>147</v>
      </c>
      <c r="L28" s="514" t="str">
        <f t="shared" si="4"/>
        <v/>
      </c>
      <c r="M28" s="514" t="str">
        <f t="shared" si="4"/>
        <v/>
      </c>
      <c r="N28" s="515"/>
      <c r="O28" s="86" t="s">
        <v>359</v>
      </c>
      <c r="P28" s="410" t="s">
        <v>90</v>
      </c>
      <c r="Q28" s="88">
        <f>L19</f>
        <v>0.01</v>
      </c>
      <c r="R28" s="88">
        <f>M19</f>
        <v>7.0000000000000001E-3</v>
      </c>
    </row>
    <row r="29" spans="1:18">
      <c r="A29" s="873"/>
      <c r="B29" s="879"/>
      <c r="C29" s="513" t="s">
        <v>691</v>
      </c>
      <c r="D29" s="512" t="s">
        <v>692</v>
      </c>
      <c r="E29" s="474">
        <v>1.76</v>
      </c>
      <c r="F29" s="36">
        <v>5.125</v>
      </c>
      <c r="H29" s="873"/>
      <c r="I29" s="879"/>
      <c r="J29" s="513" t="s">
        <v>148</v>
      </c>
      <c r="K29" s="512" t="s">
        <v>149</v>
      </c>
      <c r="L29" s="514">
        <f t="shared" si="4"/>
        <v>85.4</v>
      </c>
      <c r="M29" s="514" t="str">
        <f t="shared" si="4"/>
        <v/>
      </c>
      <c r="N29" s="515"/>
      <c r="O29" s="86" t="s">
        <v>360</v>
      </c>
      <c r="P29" s="410" t="s">
        <v>361</v>
      </c>
      <c r="Q29" s="88" t="e">
        <f>L17</f>
        <v>#N/A</v>
      </c>
      <c r="R29" s="88" t="e">
        <f>M17</f>
        <v>#N/A</v>
      </c>
    </row>
    <row r="30" spans="1:18">
      <c r="A30" s="873"/>
      <c r="B30" s="879"/>
      <c r="C30" s="511" t="s">
        <v>24</v>
      </c>
      <c r="D30" s="512" t="s">
        <v>94</v>
      </c>
      <c r="E30" s="474">
        <v>348.42499999999995</v>
      </c>
      <c r="F30" s="36">
        <v>321.53300000000002</v>
      </c>
      <c r="H30" s="873"/>
      <c r="I30" s="879"/>
      <c r="J30" s="513" t="s">
        <v>26</v>
      </c>
      <c r="K30" s="512" t="s">
        <v>150</v>
      </c>
      <c r="L30" s="514" t="str">
        <f t="shared" si="4"/>
        <v/>
      </c>
      <c r="M30" s="514">
        <f t="shared" si="4"/>
        <v>2.12</v>
      </c>
      <c r="N30" s="515"/>
      <c r="O30" s="86" t="s">
        <v>362</v>
      </c>
      <c r="P30" s="410" t="s">
        <v>91</v>
      </c>
      <c r="Q30" s="88">
        <f>L22</f>
        <v>9.4E-2</v>
      </c>
      <c r="R30" s="88">
        <f>M22</f>
        <v>0.311</v>
      </c>
    </row>
    <row r="31" spans="1:18">
      <c r="A31" s="873"/>
      <c r="B31" s="879"/>
      <c r="C31" s="511" t="s">
        <v>25</v>
      </c>
      <c r="D31" s="512" t="s">
        <v>693</v>
      </c>
      <c r="E31" s="474" t="e">
        <v>#N/A</v>
      </c>
      <c r="F31" s="36" t="e">
        <v>#N/A</v>
      </c>
      <c r="H31" s="873"/>
      <c r="I31" s="879"/>
      <c r="J31" s="513" t="s">
        <v>27</v>
      </c>
      <c r="K31" s="512" t="s">
        <v>95</v>
      </c>
      <c r="L31" s="514">
        <f t="shared" si="4"/>
        <v>5561.2484999999997</v>
      </c>
      <c r="M31" s="514">
        <f t="shared" si="4"/>
        <v>4182.1600799999997</v>
      </c>
      <c r="N31" s="515"/>
      <c r="O31" s="86" t="s">
        <v>363</v>
      </c>
      <c r="P31" s="410" t="s">
        <v>94</v>
      </c>
      <c r="Q31" s="88">
        <f>L26</f>
        <v>348.42499999999995</v>
      </c>
      <c r="R31" s="88">
        <f>M26</f>
        <v>321.53300000000002</v>
      </c>
    </row>
    <row r="32" spans="1:18">
      <c r="A32" s="873"/>
      <c r="B32" s="879"/>
      <c r="C32" s="511" t="s">
        <v>146</v>
      </c>
      <c r="D32" s="512" t="s">
        <v>694</v>
      </c>
      <c r="E32" s="474" t="e">
        <v>#N/A</v>
      </c>
      <c r="F32" s="36" t="e">
        <v>#N/A</v>
      </c>
      <c r="H32" s="873"/>
      <c r="I32" s="879"/>
      <c r="J32" s="513" t="s">
        <v>28</v>
      </c>
      <c r="K32" s="512" t="s">
        <v>96</v>
      </c>
      <c r="L32" s="514">
        <f t="shared" si="4"/>
        <v>1.4315</v>
      </c>
      <c r="M32" s="514" t="str">
        <f t="shared" si="4"/>
        <v/>
      </c>
      <c r="N32" s="515"/>
      <c r="O32" s="86" t="s">
        <v>364</v>
      </c>
      <c r="P32" s="410" t="s">
        <v>87</v>
      </c>
      <c r="Q32" s="88">
        <f>L16</f>
        <v>7.85</v>
      </c>
      <c r="R32" s="88">
        <f>M16</f>
        <v>5.25</v>
      </c>
    </row>
    <row r="33" spans="1:18">
      <c r="A33" s="873"/>
      <c r="B33" s="879"/>
      <c r="C33" s="511" t="s">
        <v>148</v>
      </c>
      <c r="D33" s="512" t="s">
        <v>149</v>
      </c>
      <c r="E33" s="474">
        <v>85.4</v>
      </c>
      <c r="F33" s="36" t="e">
        <v>#N/A</v>
      </c>
      <c r="H33" s="873"/>
      <c r="I33" s="879"/>
      <c r="J33" s="513" t="s">
        <v>29</v>
      </c>
      <c r="K33" s="512" t="s">
        <v>97</v>
      </c>
      <c r="L33" s="514">
        <f t="shared" si="4"/>
        <v>26.992000000000001</v>
      </c>
      <c r="M33" s="514">
        <f t="shared" si="4"/>
        <v>17.404</v>
      </c>
      <c r="N33" s="515"/>
      <c r="O33" s="86" t="s">
        <v>365</v>
      </c>
      <c r="P33" s="410" t="s">
        <v>145</v>
      </c>
      <c r="Q33" s="88" t="str">
        <f>L27</f>
        <v/>
      </c>
      <c r="R33" s="88" t="str">
        <f>M27</f>
        <v/>
      </c>
    </row>
    <row r="34" spans="1:18">
      <c r="A34" s="873"/>
      <c r="B34" s="879"/>
      <c r="C34" s="513" t="s">
        <v>26</v>
      </c>
      <c r="D34" s="512" t="s">
        <v>695</v>
      </c>
      <c r="E34" s="474" t="e">
        <v>#N/A</v>
      </c>
      <c r="F34" s="36">
        <v>2.12</v>
      </c>
      <c r="H34" s="873"/>
      <c r="I34" s="879"/>
      <c r="J34" s="513" t="s">
        <v>99</v>
      </c>
      <c r="K34" s="512" t="s">
        <v>98</v>
      </c>
      <c r="L34" s="514">
        <f t="shared" si="4"/>
        <v>6.6950000000000003</v>
      </c>
      <c r="M34" s="514">
        <f t="shared" si="4"/>
        <v>1.165</v>
      </c>
      <c r="N34" s="515"/>
      <c r="O34" s="86" t="s">
        <v>366</v>
      </c>
      <c r="P34" s="410" t="s">
        <v>89</v>
      </c>
      <c r="Q34" s="88" t="e">
        <f>L18</f>
        <v>#N/A</v>
      </c>
      <c r="R34" s="88" t="e">
        <f>M18</f>
        <v>#N/A</v>
      </c>
    </row>
    <row r="35" spans="1:18">
      <c r="A35" s="873"/>
      <c r="B35" s="879"/>
      <c r="C35" s="511" t="s">
        <v>27</v>
      </c>
      <c r="D35" s="512" t="s">
        <v>423</v>
      </c>
      <c r="E35" s="474">
        <v>5561.2484999999997</v>
      </c>
      <c r="F35" s="36">
        <v>4182.1600799999997</v>
      </c>
      <c r="H35" s="873"/>
      <c r="I35" s="879"/>
      <c r="J35" s="513" t="s">
        <v>101</v>
      </c>
      <c r="K35" s="512" t="s">
        <v>100</v>
      </c>
      <c r="L35" s="514">
        <f t="shared" si="4"/>
        <v>1.61557</v>
      </c>
      <c r="M35" s="514">
        <f t="shared" si="4"/>
        <v>3.8849999999999998</v>
      </c>
      <c r="N35" s="515"/>
      <c r="O35" s="86" t="s">
        <v>367</v>
      </c>
      <c r="P35" s="410" t="s">
        <v>141</v>
      </c>
      <c r="Q35" s="88">
        <f>L20</f>
        <v>19.579999999999998</v>
      </c>
      <c r="R35" s="88">
        <f>M20</f>
        <v>0.24</v>
      </c>
    </row>
    <row r="36" spans="1:18">
      <c r="A36" s="873"/>
      <c r="B36" s="879"/>
      <c r="C36" s="513" t="s">
        <v>28</v>
      </c>
      <c r="D36" s="512" t="s">
        <v>96</v>
      </c>
      <c r="E36" s="474">
        <v>1.4315</v>
      </c>
      <c r="F36" s="36" t="e">
        <v>#N/A</v>
      </c>
      <c r="H36" s="874"/>
      <c r="I36" s="880"/>
      <c r="J36" s="513" t="s">
        <v>30</v>
      </c>
      <c r="K36" s="512" t="s">
        <v>151</v>
      </c>
      <c r="L36" s="514">
        <f t="shared" si="4"/>
        <v>186.30700000000002</v>
      </c>
      <c r="M36" s="514">
        <f t="shared" si="4"/>
        <v>7.2640000000000002</v>
      </c>
      <c r="N36" s="515"/>
      <c r="O36" s="86" t="s">
        <v>368</v>
      </c>
      <c r="P36" s="410" t="s">
        <v>147</v>
      </c>
      <c r="Q36" s="88" t="str">
        <f>L28</f>
        <v/>
      </c>
      <c r="R36" s="88" t="str">
        <f>M28</f>
        <v/>
      </c>
    </row>
    <row r="37" spans="1:18">
      <c r="A37" s="873"/>
      <c r="B37" s="879"/>
      <c r="C37" s="511" t="s">
        <v>29</v>
      </c>
      <c r="D37" s="512" t="s">
        <v>696</v>
      </c>
      <c r="E37" s="474">
        <v>26.992000000000001</v>
      </c>
      <c r="F37" s="36">
        <v>17.404</v>
      </c>
      <c r="H37" s="90" t="s">
        <v>31</v>
      </c>
      <c r="I37" s="91" t="s">
        <v>32</v>
      </c>
      <c r="J37" s="513" t="s">
        <v>33</v>
      </c>
      <c r="K37" s="512" t="s">
        <v>102</v>
      </c>
      <c r="L37" s="514" t="str">
        <f>IF(ISNUMBER(E41),E41,"")</f>
        <v/>
      </c>
      <c r="M37" s="514">
        <f t="shared" si="4"/>
        <v>1.214</v>
      </c>
      <c r="N37" s="515"/>
      <c r="O37" s="86" t="s">
        <v>369</v>
      </c>
      <c r="P37" s="410" t="s">
        <v>86</v>
      </c>
      <c r="Q37" s="88">
        <f>L15</f>
        <v>35.762599999999999</v>
      </c>
      <c r="R37" s="88">
        <f>M15</f>
        <v>87.33850000000001</v>
      </c>
    </row>
    <row r="38" spans="1:18">
      <c r="A38" s="873"/>
      <c r="B38" s="879"/>
      <c r="C38" s="511" t="s">
        <v>99</v>
      </c>
      <c r="D38" s="512" t="s">
        <v>98</v>
      </c>
      <c r="E38" s="474">
        <v>6.6950000000000003</v>
      </c>
      <c r="F38" s="36">
        <v>1.165</v>
      </c>
      <c r="H38" s="872" t="s">
        <v>34</v>
      </c>
      <c r="I38" s="878" t="s">
        <v>152</v>
      </c>
      <c r="J38" s="513" t="s">
        <v>35</v>
      </c>
      <c r="K38" s="512" t="s">
        <v>103</v>
      </c>
      <c r="L38" s="514">
        <f>IF(OR(ISNUMBER(E44),ISNUMBER(E46)),E44+E46,"")</f>
        <v>572.17549999999994</v>
      </c>
      <c r="M38" s="514">
        <f>IF(OR(ISNUMBER(F44),ISNUMBER(F46)),F44+F46,"")</f>
        <v>1255.2650000000001</v>
      </c>
      <c r="N38" s="515"/>
      <c r="O38" s="86" t="s">
        <v>370</v>
      </c>
      <c r="P38" s="410" t="s">
        <v>143</v>
      </c>
      <c r="Q38" s="88" t="str">
        <f>L21</f>
        <v/>
      </c>
      <c r="R38" s="88" t="str">
        <f>M21</f>
        <v/>
      </c>
    </row>
    <row r="39" spans="1:18">
      <c r="A39" s="873"/>
      <c r="B39" s="879"/>
      <c r="C39" s="513" t="s">
        <v>101</v>
      </c>
      <c r="D39" s="512" t="s">
        <v>100</v>
      </c>
      <c r="E39" s="474">
        <v>1.61557</v>
      </c>
      <c r="F39" s="36">
        <v>3.8849999999999998</v>
      </c>
      <c r="H39" s="874"/>
      <c r="I39" s="880"/>
      <c r="J39" s="513" t="s">
        <v>105</v>
      </c>
      <c r="K39" s="512" t="s">
        <v>104</v>
      </c>
      <c r="L39" s="514">
        <f>IF(OR(ISNUMBER(E45),ISNUMBER(E47)),E45+E47,"")</f>
        <v>437.24840000000006</v>
      </c>
      <c r="M39" s="514">
        <f>IF(OR(ISNUMBER(F45),ISNUMBER(F47)),F45+F47,"")</f>
        <v>494.86633</v>
      </c>
      <c r="N39" s="515"/>
      <c r="O39" s="86" t="s">
        <v>371</v>
      </c>
      <c r="P39" s="410" t="s">
        <v>93</v>
      </c>
      <c r="Q39" s="88">
        <f>L25</f>
        <v>449.29300000000001</v>
      </c>
      <c r="R39" s="88">
        <f>M25</f>
        <v>591.15300000000002</v>
      </c>
    </row>
    <row r="40" spans="1:18">
      <c r="A40" s="1008"/>
      <c r="B40" s="880"/>
      <c r="C40" s="511" t="s">
        <v>30</v>
      </c>
      <c r="D40" s="512" t="s">
        <v>697</v>
      </c>
      <c r="E40" s="474">
        <v>186.30700000000002</v>
      </c>
      <c r="F40" s="36">
        <v>7.2640000000000002</v>
      </c>
      <c r="H40" s="872" t="s">
        <v>37</v>
      </c>
      <c r="I40" s="878" t="s">
        <v>153</v>
      </c>
      <c r="J40" s="513" t="s">
        <v>38</v>
      </c>
      <c r="K40" s="512" t="s">
        <v>106</v>
      </c>
      <c r="L40" s="514">
        <f>IF(ISNUMBER(E48),E48,"")</f>
        <v>60.567</v>
      </c>
      <c r="M40" s="514">
        <f>IF(ISNUMBER(F48),F48,"")</f>
        <v>112.26300000000001</v>
      </c>
      <c r="N40" s="515"/>
      <c r="O40" s="86" t="s">
        <v>372</v>
      </c>
      <c r="P40" s="410" t="s">
        <v>85</v>
      </c>
      <c r="Q40" s="88">
        <f>L14</f>
        <v>8.32</v>
      </c>
      <c r="R40" s="88">
        <f>M14</f>
        <v>10.925000000000001</v>
      </c>
    </row>
    <row r="41" spans="1:18">
      <c r="A41" s="872" t="s">
        <v>31</v>
      </c>
      <c r="B41" s="878" t="s">
        <v>698</v>
      </c>
      <c r="C41" s="511" t="s">
        <v>33</v>
      </c>
      <c r="D41" s="512" t="s">
        <v>699</v>
      </c>
      <c r="E41" s="474" t="e">
        <v>#N/A</v>
      </c>
      <c r="F41" s="36">
        <v>1.214</v>
      </c>
      <c r="H41" s="873"/>
      <c r="I41" s="879"/>
      <c r="J41" s="513" t="s">
        <v>39</v>
      </c>
      <c r="K41" s="512" t="s">
        <v>107</v>
      </c>
      <c r="L41" s="514">
        <f>IF(OR(ISNUMBER(E49),ISNUMBER(E72)),E49+E72,"")</f>
        <v>2555.9985000000001</v>
      </c>
      <c r="M41" s="514">
        <f>IF(OR(ISNUMBER(F49),ISNUMBER(F72)),F49+F72,"")</f>
        <v>2383.4034999999999</v>
      </c>
      <c r="N41" s="515"/>
      <c r="O41" s="86" t="s">
        <v>373</v>
      </c>
      <c r="P41" s="410" t="s">
        <v>374</v>
      </c>
      <c r="Q41" s="88">
        <f t="shared" ref="Q41:R43" si="5">L10</f>
        <v>15.877000000000001</v>
      </c>
      <c r="R41" s="88">
        <f t="shared" si="5"/>
        <v>13.202999999999999</v>
      </c>
    </row>
    <row r="42" spans="1:18">
      <c r="A42" s="873"/>
      <c r="B42" s="879"/>
      <c r="C42" s="513" t="s">
        <v>500</v>
      </c>
      <c r="D42" s="512" t="s">
        <v>700</v>
      </c>
      <c r="E42" s="474">
        <v>1.08</v>
      </c>
      <c r="F42" s="36" t="e">
        <v>#N/A</v>
      </c>
      <c r="H42" s="873"/>
      <c r="I42" s="879"/>
      <c r="J42" s="513" t="s">
        <v>40</v>
      </c>
      <c r="K42" s="512" t="s">
        <v>108</v>
      </c>
      <c r="L42" s="514" t="e">
        <f>IF(OR(ISNUMBER(E50),ISNUMBER(E51)),E50+E51,"")</f>
        <v>#N/A</v>
      </c>
      <c r="M42" s="514">
        <f>IF(OR(ISNUMBER(F50),ISNUMBER(F51)),F50+F51,"")</f>
        <v>18.015000000000001</v>
      </c>
      <c r="N42" s="515"/>
      <c r="O42" s="86" t="s">
        <v>375</v>
      </c>
      <c r="P42" s="410" t="s">
        <v>82</v>
      </c>
      <c r="Q42" s="88">
        <f t="shared" si="5"/>
        <v>1095.4299999999998</v>
      </c>
      <c r="R42" s="88">
        <f t="shared" si="5"/>
        <v>574.22340000000008</v>
      </c>
    </row>
    <row r="43" spans="1:18">
      <c r="A43" s="1008"/>
      <c r="B43" s="880"/>
      <c r="C43" s="513" t="s">
        <v>502</v>
      </c>
      <c r="D43" s="512" t="s">
        <v>701</v>
      </c>
      <c r="E43" s="474" t="e">
        <v>#N/A</v>
      </c>
      <c r="F43" s="36">
        <v>1.5739999999999998</v>
      </c>
      <c r="H43" s="874"/>
      <c r="I43" s="880"/>
      <c r="J43" s="513" t="s">
        <v>41</v>
      </c>
      <c r="K43" s="512" t="s">
        <v>109</v>
      </c>
      <c r="L43" s="514">
        <f>IF(ISNUMBER(E52),E52,"")</f>
        <v>2.0999999999999996</v>
      </c>
      <c r="M43" s="514">
        <f>IF(ISNUMBER(F52),F52,"")</f>
        <v>38.575999999999993</v>
      </c>
      <c r="N43" s="515"/>
      <c r="O43" s="86" t="s">
        <v>376</v>
      </c>
      <c r="P43" s="410" t="s">
        <v>83</v>
      </c>
      <c r="Q43" s="88">
        <f t="shared" si="5"/>
        <v>45424.819499999998</v>
      </c>
      <c r="R43" s="88">
        <f t="shared" si="5"/>
        <v>42654.412199999999</v>
      </c>
    </row>
    <row r="44" spans="1:18">
      <c r="A44" s="872" t="s">
        <v>34</v>
      </c>
      <c r="B44" s="878" t="s">
        <v>702</v>
      </c>
      <c r="C44" s="513" t="s">
        <v>35</v>
      </c>
      <c r="D44" s="512" t="s">
        <v>703</v>
      </c>
      <c r="E44" s="474">
        <v>150.958</v>
      </c>
      <c r="F44" s="36">
        <v>422.24800000000005</v>
      </c>
      <c r="H44" s="872" t="s">
        <v>42</v>
      </c>
      <c r="I44" s="878" t="s">
        <v>154</v>
      </c>
      <c r="J44" s="513" t="s">
        <v>43</v>
      </c>
      <c r="K44" s="512" t="s">
        <v>110</v>
      </c>
      <c r="L44" s="514" t="e">
        <f>IF(OR(ISNUMBER(E53),ISNUMBER(E55)),E53+E55,"")</f>
        <v>#N/A</v>
      </c>
      <c r="M44" s="514">
        <f>IF(OR(ISNUMBER(F53),ISNUMBER(F55)),F53+F55,"")</f>
        <v>910.096</v>
      </c>
      <c r="N44" s="515"/>
      <c r="O44" s="86" t="s">
        <v>377</v>
      </c>
      <c r="P44" s="410" t="s">
        <v>378</v>
      </c>
      <c r="Q44" s="88" t="str">
        <f>L71</f>
        <v/>
      </c>
      <c r="R44" s="88">
        <f>M71</f>
        <v>6.37</v>
      </c>
    </row>
    <row r="45" spans="1:18">
      <c r="A45" s="873"/>
      <c r="B45" s="879"/>
      <c r="C45" s="513" t="s">
        <v>105</v>
      </c>
      <c r="D45" s="512" t="s">
        <v>704</v>
      </c>
      <c r="E45" s="474">
        <v>2.605</v>
      </c>
      <c r="F45" s="36">
        <v>283.62950000000001</v>
      </c>
      <c r="H45" s="873"/>
      <c r="I45" s="879"/>
      <c r="J45" s="513" t="s">
        <v>44</v>
      </c>
      <c r="K45" s="512" t="s">
        <v>111</v>
      </c>
      <c r="L45" s="514">
        <f>IF(ISNUMBER(E54),E54,"")</f>
        <v>339.35849999999999</v>
      </c>
      <c r="M45" s="514">
        <f>IF(ISNUMBER(F54),F54,"")</f>
        <v>155.75550000000001</v>
      </c>
      <c r="N45" s="515"/>
      <c r="O45" s="86" t="s">
        <v>379</v>
      </c>
      <c r="P45" s="410" t="s">
        <v>176</v>
      </c>
      <c r="Q45" s="88">
        <f>L45</f>
        <v>339.35849999999999</v>
      </c>
      <c r="R45" s="88">
        <f>M45</f>
        <v>155.75550000000001</v>
      </c>
    </row>
    <row r="46" spans="1:18">
      <c r="A46" s="873"/>
      <c r="B46" s="879"/>
      <c r="C46" s="513" t="s">
        <v>506</v>
      </c>
      <c r="D46" s="512" t="s">
        <v>705</v>
      </c>
      <c r="E46" s="474">
        <v>421.21749999999997</v>
      </c>
      <c r="F46" s="36">
        <v>833.01700000000005</v>
      </c>
      <c r="H46" s="874"/>
      <c r="I46" s="880"/>
      <c r="J46" s="513" t="s">
        <v>45</v>
      </c>
      <c r="K46" s="512" t="s">
        <v>155</v>
      </c>
      <c r="L46" s="514">
        <f>IF(ISNUMBER(E56),E56,"")</f>
        <v>20.472000000000001</v>
      </c>
      <c r="M46" s="514">
        <f>IF(ISNUMBER(F56),F56,"")</f>
        <v>18.350000000000001</v>
      </c>
      <c r="N46" s="515"/>
      <c r="O46" s="86" t="s">
        <v>380</v>
      </c>
      <c r="P46" s="410" t="s">
        <v>381</v>
      </c>
      <c r="Q46" s="88" t="str">
        <f>L59</f>
        <v/>
      </c>
      <c r="R46" s="88">
        <f>M59</f>
        <v>26.085000000000001</v>
      </c>
    </row>
    <row r="47" spans="1:18">
      <c r="A47" s="1008"/>
      <c r="B47" s="880"/>
      <c r="C47" s="513" t="s">
        <v>508</v>
      </c>
      <c r="D47" s="512" t="s">
        <v>706</v>
      </c>
      <c r="E47" s="474">
        <v>434.64340000000004</v>
      </c>
      <c r="F47" s="36">
        <v>211.23683</v>
      </c>
      <c r="H47" s="872" t="s">
        <v>46</v>
      </c>
      <c r="I47" s="878" t="s">
        <v>156</v>
      </c>
      <c r="J47" s="513" t="s">
        <v>47</v>
      </c>
      <c r="K47" s="512" t="s">
        <v>112</v>
      </c>
      <c r="L47" s="514">
        <f>IF(OR(ISNUMBER(E57),ISNUMBER(E61),ISNUMBER(E62)),E57+E61+E62,"")</f>
        <v>52272.143780000006</v>
      </c>
      <c r="M47" s="514">
        <f>IF(OR(ISNUMBER(F57),ISNUMBER(F61),ISNUMBER(F62)),F57+F61+F62,"")</f>
        <v>51159.365189999997</v>
      </c>
      <c r="N47" s="515"/>
      <c r="O47" s="86" t="s">
        <v>382</v>
      </c>
      <c r="P47" s="410" t="s">
        <v>383</v>
      </c>
      <c r="Q47" s="88">
        <f>L55</f>
        <v>0.21299999999999999</v>
      </c>
      <c r="R47" s="88">
        <f>M55</f>
        <v>19.705660000000002</v>
      </c>
    </row>
    <row r="48" spans="1:18">
      <c r="A48" s="872" t="s">
        <v>37</v>
      </c>
      <c r="B48" s="878" t="s">
        <v>707</v>
      </c>
      <c r="C48" s="513" t="s">
        <v>38</v>
      </c>
      <c r="D48" s="512" t="s">
        <v>708</v>
      </c>
      <c r="E48" s="474">
        <v>60.567</v>
      </c>
      <c r="F48" s="36">
        <v>112.26300000000001</v>
      </c>
      <c r="H48" s="873"/>
      <c r="I48" s="879"/>
      <c r="J48" s="513" t="s">
        <v>48</v>
      </c>
      <c r="K48" s="512" t="s">
        <v>157</v>
      </c>
      <c r="L48" s="514">
        <f>IF(OR(ISNUMBER(E58),ISNUMBER(E59)),E58+E59,"")</f>
        <v>29846.110619999999</v>
      </c>
      <c r="M48" s="514">
        <f>IF(OR(ISNUMBER(F58),ISNUMBER(F59)),F58+F59,"")</f>
        <v>23961.438100000003</v>
      </c>
      <c r="N48" s="515"/>
      <c r="O48" s="86" t="s">
        <v>384</v>
      </c>
      <c r="P48" s="410" t="s">
        <v>106</v>
      </c>
      <c r="Q48" s="88">
        <f>L40</f>
        <v>60.567</v>
      </c>
      <c r="R48" s="88">
        <f>M40</f>
        <v>112.26300000000001</v>
      </c>
    </row>
    <row r="49" spans="1:18">
      <c r="A49" s="873"/>
      <c r="B49" s="879"/>
      <c r="C49" s="513" t="s">
        <v>39</v>
      </c>
      <c r="D49" s="512" t="s">
        <v>709</v>
      </c>
      <c r="E49" s="474">
        <v>720.57049999999992</v>
      </c>
      <c r="F49" s="36">
        <v>646.28099999999995</v>
      </c>
      <c r="H49" s="874"/>
      <c r="I49" s="880"/>
      <c r="J49" s="513" t="s">
        <v>49</v>
      </c>
      <c r="K49" s="512" t="s">
        <v>158</v>
      </c>
      <c r="L49" s="514">
        <f>IF(ISNUMBER(E60),E60,"")</f>
        <v>0.7</v>
      </c>
      <c r="M49" s="514">
        <f>IF(ISNUMBER(F60),F60,"")</f>
        <v>61.278999999999996</v>
      </c>
      <c r="N49" s="515"/>
      <c r="O49" s="86" t="s">
        <v>385</v>
      </c>
      <c r="P49" s="410" t="s">
        <v>108</v>
      </c>
      <c r="Q49" s="88" t="e">
        <f>L42</f>
        <v>#N/A</v>
      </c>
      <c r="R49" s="88">
        <f>M42</f>
        <v>18.015000000000001</v>
      </c>
    </row>
    <row r="50" spans="1:18">
      <c r="A50" s="873"/>
      <c r="B50" s="879"/>
      <c r="C50" s="513" t="s">
        <v>512</v>
      </c>
      <c r="D50" s="512" t="s">
        <v>710</v>
      </c>
      <c r="E50" s="474" t="e">
        <v>#N/A</v>
      </c>
      <c r="F50" s="36">
        <v>1.5860000000000001</v>
      </c>
      <c r="H50" s="872" t="s">
        <v>50</v>
      </c>
      <c r="I50" s="878" t="s">
        <v>159</v>
      </c>
      <c r="J50" s="513" t="s">
        <v>51</v>
      </c>
      <c r="K50" s="512" t="s">
        <v>113</v>
      </c>
      <c r="L50" s="514">
        <f>IF(OR(ISNUMBER(E63),ISNUMBER(E68)),E63+E68,"")</f>
        <v>9261.1280000000006</v>
      </c>
      <c r="M50" s="514">
        <f>IF(OR(ISNUMBER(F63),ISNUMBER(F68)),F63+F68,"")</f>
        <v>25053.004999999997</v>
      </c>
      <c r="N50" s="515"/>
      <c r="O50" s="86" t="s">
        <v>386</v>
      </c>
      <c r="P50" s="410" t="s">
        <v>107</v>
      </c>
      <c r="Q50" s="88">
        <f>L41</f>
        <v>2555.9985000000001</v>
      </c>
      <c r="R50" s="88">
        <f>M41</f>
        <v>2383.4034999999999</v>
      </c>
    </row>
    <row r="51" spans="1:18">
      <c r="A51" s="873"/>
      <c r="B51" s="879"/>
      <c r="C51" s="513" t="s">
        <v>40</v>
      </c>
      <c r="D51" s="512" t="s">
        <v>711</v>
      </c>
      <c r="E51" s="474">
        <v>34.799000000000007</v>
      </c>
      <c r="F51" s="36">
        <v>16.429000000000002</v>
      </c>
      <c r="H51" s="873"/>
      <c r="I51" s="879"/>
      <c r="J51" s="513" t="s">
        <v>115</v>
      </c>
      <c r="K51" s="512" t="s">
        <v>114</v>
      </c>
      <c r="L51" s="514">
        <f>IF(ISNUMBER(E64),E64,"")</f>
        <v>36948.535439999992</v>
      </c>
      <c r="M51" s="514">
        <f>IF(ISNUMBER(F64),F64,"")</f>
        <v>43229.336000000003</v>
      </c>
      <c r="N51" s="515"/>
      <c r="O51" s="86" t="s">
        <v>387</v>
      </c>
      <c r="P51" s="410" t="s">
        <v>388</v>
      </c>
      <c r="Q51" s="520"/>
      <c r="R51" s="520"/>
    </row>
    <row r="52" spans="1:18">
      <c r="A52" s="1008"/>
      <c r="B52" s="880"/>
      <c r="C52" s="513" t="s">
        <v>41</v>
      </c>
      <c r="D52" s="512" t="s">
        <v>712</v>
      </c>
      <c r="E52" s="474">
        <v>2.0999999999999996</v>
      </c>
      <c r="F52" s="36">
        <v>38.575999999999993</v>
      </c>
      <c r="H52" s="873"/>
      <c r="I52" s="879"/>
      <c r="J52" s="513" t="s">
        <v>52</v>
      </c>
      <c r="K52" s="512" t="s">
        <v>116</v>
      </c>
      <c r="L52" s="514" t="str">
        <f>IF(ISNUMBER(E66),E66,"")</f>
        <v/>
      </c>
      <c r="M52" s="514">
        <f>IF(ISNUMBER(F66),F66,"")</f>
        <v>16.3</v>
      </c>
      <c r="N52" s="515"/>
      <c r="O52" s="86" t="s">
        <v>389</v>
      </c>
      <c r="P52" s="410" t="s">
        <v>390</v>
      </c>
      <c r="Q52" s="520"/>
      <c r="R52" s="520"/>
    </row>
    <row r="53" spans="1:18">
      <c r="A53" s="872" t="s">
        <v>42</v>
      </c>
      <c r="B53" s="878" t="s">
        <v>154</v>
      </c>
      <c r="C53" s="513" t="s">
        <v>43</v>
      </c>
      <c r="D53" s="512" t="s">
        <v>713</v>
      </c>
      <c r="E53" s="474" t="e">
        <v>#N/A</v>
      </c>
      <c r="F53" s="36">
        <v>495.15099999999995</v>
      </c>
      <c r="H53" s="874"/>
      <c r="I53" s="880"/>
      <c r="J53" s="513" t="s">
        <v>118</v>
      </c>
      <c r="K53" s="512" t="s">
        <v>117</v>
      </c>
      <c r="L53" s="514" t="str">
        <f>IF(ISNUMBER(E67),E67,"")</f>
        <v/>
      </c>
      <c r="M53" s="514" t="str">
        <f>IF(ISNUMBER(F67),F67,"")</f>
        <v/>
      </c>
      <c r="N53" s="515"/>
      <c r="O53" s="86" t="s">
        <v>391</v>
      </c>
      <c r="P53" s="410" t="s">
        <v>392</v>
      </c>
      <c r="Q53" s="88" t="str">
        <f>L56</f>
        <v/>
      </c>
      <c r="R53" s="88">
        <f>M56</f>
        <v>1.698</v>
      </c>
    </row>
    <row r="54" spans="1:18">
      <c r="A54" s="873"/>
      <c r="B54" s="879"/>
      <c r="C54" s="513" t="s">
        <v>44</v>
      </c>
      <c r="D54" s="512" t="s">
        <v>111</v>
      </c>
      <c r="E54" s="474">
        <v>339.35849999999999</v>
      </c>
      <c r="F54" s="36">
        <v>155.75550000000001</v>
      </c>
      <c r="H54" s="872" t="s">
        <v>53</v>
      </c>
      <c r="I54" s="878" t="s">
        <v>54</v>
      </c>
      <c r="J54" s="513" t="s">
        <v>55</v>
      </c>
      <c r="K54" s="521" t="s">
        <v>160</v>
      </c>
      <c r="L54" s="514" t="e">
        <f>IF(OR(ISNUMBER(E70),ISNUMBER(E71)),E70+E71,"")</f>
        <v>#N/A</v>
      </c>
      <c r="M54" s="514">
        <f>IF(OR(ISNUMBER(F70),ISNUMBER(F71)),F70+F71,"")</f>
        <v>23.697500000000002</v>
      </c>
      <c r="O54" s="93"/>
      <c r="P54" s="413" t="s">
        <v>405</v>
      </c>
      <c r="Q54" s="33"/>
      <c r="R54" s="33"/>
    </row>
    <row r="55" spans="1:18">
      <c r="A55" s="873"/>
      <c r="B55" s="879"/>
      <c r="C55" s="513" t="s">
        <v>714</v>
      </c>
      <c r="D55" s="512" t="s">
        <v>420</v>
      </c>
      <c r="E55" s="474">
        <v>3.9</v>
      </c>
      <c r="F55" s="36">
        <v>414.94499999999999</v>
      </c>
      <c r="H55" s="873"/>
      <c r="I55" s="879"/>
      <c r="J55" s="513" t="s">
        <v>56</v>
      </c>
      <c r="K55" s="512" t="s">
        <v>161</v>
      </c>
      <c r="L55" s="514">
        <f>IF(ISNUMBER(E73),E73,"")</f>
        <v>0.21299999999999999</v>
      </c>
      <c r="M55" s="514">
        <f>IF(ISNUMBER(F73),F73,"")</f>
        <v>19.705660000000002</v>
      </c>
      <c r="N55" s="515"/>
      <c r="O55" s="86" t="s">
        <v>393</v>
      </c>
      <c r="P55" s="410" t="s">
        <v>394</v>
      </c>
      <c r="Q55" s="99"/>
      <c r="R55" s="99"/>
    </row>
    <row r="56" spans="1:18">
      <c r="A56" s="1008"/>
      <c r="B56" s="880"/>
      <c r="C56" s="513" t="s">
        <v>45</v>
      </c>
      <c r="D56" s="512" t="s">
        <v>715</v>
      </c>
      <c r="E56" s="474">
        <v>20.472000000000001</v>
      </c>
      <c r="F56" s="36">
        <v>18.350000000000001</v>
      </c>
      <c r="H56" s="873"/>
      <c r="I56" s="879"/>
      <c r="J56" s="513" t="s">
        <v>57</v>
      </c>
      <c r="K56" s="512" t="s">
        <v>162</v>
      </c>
      <c r="L56" s="514" t="str">
        <f t="shared" ref="L56:M70" si="6">IF(ISNUMBER(E74),E74,"")</f>
        <v/>
      </c>
      <c r="M56" s="514">
        <f t="shared" si="6"/>
        <v>1.698</v>
      </c>
      <c r="N56" s="515"/>
      <c r="O56" s="86" t="s">
        <v>395</v>
      </c>
      <c r="P56" s="410" t="s">
        <v>396</v>
      </c>
      <c r="Q56" s="99"/>
      <c r="R56" s="99"/>
    </row>
    <row r="57" spans="1:18">
      <c r="A57" s="872" t="s">
        <v>46</v>
      </c>
      <c r="B57" s="878" t="s">
        <v>716</v>
      </c>
      <c r="C57" s="513" t="s">
        <v>47</v>
      </c>
      <c r="D57" s="512" t="s">
        <v>717</v>
      </c>
      <c r="E57" s="474">
        <v>44707.748100000004</v>
      </c>
      <c r="F57" s="36">
        <v>44123.83367</v>
      </c>
      <c r="H57" s="873"/>
      <c r="I57" s="879"/>
      <c r="J57" s="513" t="s">
        <v>120</v>
      </c>
      <c r="K57" s="512" t="s">
        <v>119</v>
      </c>
      <c r="L57" s="514" t="str">
        <f t="shared" si="6"/>
        <v/>
      </c>
      <c r="M57" s="514">
        <f t="shared" si="6"/>
        <v>0.20499999999999999</v>
      </c>
      <c r="N57" s="515"/>
      <c r="O57" s="100"/>
      <c r="P57" s="413" t="s">
        <v>408</v>
      </c>
      <c r="Q57" s="33"/>
      <c r="R57" s="33"/>
    </row>
    <row r="58" spans="1:18">
      <c r="A58" s="873"/>
      <c r="B58" s="879"/>
      <c r="C58" s="513" t="s">
        <v>48</v>
      </c>
      <c r="D58" s="512" t="s">
        <v>718</v>
      </c>
      <c r="E58" s="474">
        <v>25393.836619999998</v>
      </c>
      <c r="F58" s="36">
        <v>21307.280000000002</v>
      </c>
      <c r="H58" s="873"/>
      <c r="I58" s="879"/>
      <c r="J58" s="513" t="s">
        <v>122</v>
      </c>
      <c r="K58" s="512" t="s">
        <v>121</v>
      </c>
      <c r="L58" s="514" t="str">
        <f t="shared" si="6"/>
        <v/>
      </c>
      <c r="M58" s="514" t="str">
        <f t="shared" si="6"/>
        <v/>
      </c>
      <c r="N58" s="515"/>
      <c r="O58" s="90">
        <v>1</v>
      </c>
      <c r="P58" s="522" t="s">
        <v>397</v>
      </c>
      <c r="Q58" s="35" t="e">
        <f t="shared" ref="Q58" si="7">IF(OR(ISNUMBER(L23),ISNUMBER(L24),ISNUMBER(L29),ISNUMBER(L30)),SUM(L23:L24,L29:L30),"")</f>
        <v>#N/A</v>
      </c>
      <c r="R58" s="35">
        <f>IF(OR(ISNUMBER(M23),ISNUMBER(M24),ISNUMBER(M29),ISNUMBER(M30)),SUM(M23:M24,M29:M30),"")</f>
        <v>4.902000000000001</v>
      </c>
    </row>
    <row r="59" spans="1:18">
      <c r="A59" s="873"/>
      <c r="B59" s="879"/>
      <c r="C59" s="513" t="s">
        <v>525</v>
      </c>
      <c r="D59" s="512" t="s">
        <v>421</v>
      </c>
      <c r="E59" s="474">
        <v>4452.2740000000003</v>
      </c>
      <c r="F59" s="36">
        <v>2654.1581000000001</v>
      </c>
      <c r="H59" s="873"/>
      <c r="I59" s="879"/>
      <c r="J59" s="513" t="s">
        <v>124</v>
      </c>
      <c r="K59" s="512" t="s">
        <v>123</v>
      </c>
      <c r="L59" s="514" t="str">
        <f t="shared" si="6"/>
        <v/>
      </c>
      <c r="M59" s="514">
        <f t="shared" si="6"/>
        <v>26.085000000000001</v>
      </c>
      <c r="N59" s="515"/>
      <c r="O59" s="90">
        <v>2</v>
      </c>
      <c r="P59" s="522" t="s">
        <v>398</v>
      </c>
      <c r="Q59" s="35">
        <f>IF(OR(ISNUMBER(L31),ISNUMBER(L32),ISNUMBER(L33),ISNUMBER(L36)),SUM(L31:L33,L36),"")</f>
        <v>5775.9789999999994</v>
      </c>
      <c r="R59" s="35">
        <f>IF(OR(ISNUMBER(M31),ISNUMBER(M32),ISNUMBER(M33),ISNUMBER(M36)),SUM(M31:M33,M36),"")</f>
        <v>4206.8280800000002</v>
      </c>
    </row>
    <row r="60" spans="1:18">
      <c r="A60" s="873"/>
      <c r="B60" s="879"/>
      <c r="C60" s="511" t="s">
        <v>49</v>
      </c>
      <c r="D60" s="512" t="s">
        <v>719</v>
      </c>
      <c r="E60" s="474">
        <v>0.7</v>
      </c>
      <c r="F60" s="36">
        <v>61.278999999999996</v>
      </c>
      <c r="H60" s="873"/>
      <c r="I60" s="879"/>
      <c r="J60" s="513" t="s">
        <v>58</v>
      </c>
      <c r="K60" s="512" t="s">
        <v>136</v>
      </c>
      <c r="L60" s="514">
        <f t="shared" si="6"/>
        <v>1.22</v>
      </c>
      <c r="M60" s="514">
        <f t="shared" si="6"/>
        <v>7.5670000000000002</v>
      </c>
      <c r="N60" s="515"/>
      <c r="O60" s="90">
        <v>3</v>
      </c>
      <c r="P60" s="522" t="s">
        <v>323</v>
      </c>
      <c r="Q60" s="35">
        <f t="shared" ref="Q60:R60" si="8">IF(OR(ISNUMBER(L60),ISNUMBER(L61),ISNUMBER(L62),ISNUMBER(L63)),SUM(L60:L63),"")</f>
        <v>640.69690000000003</v>
      </c>
      <c r="R60" s="35">
        <f t="shared" si="8"/>
        <v>232.53739999999999</v>
      </c>
    </row>
    <row r="61" spans="1:18">
      <c r="A61" s="873"/>
      <c r="B61" s="879"/>
      <c r="C61" s="513" t="s">
        <v>533</v>
      </c>
      <c r="D61" s="512" t="s">
        <v>720</v>
      </c>
      <c r="E61" s="474">
        <v>2.6</v>
      </c>
      <c r="F61" s="36">
        <v>1738.57152</v>
      </c>
      <c r="H61" s="873"/>
      <c r="I61" s="879"/>
      <c r="J61" s="513" t="s">
        <v>59</v>
      </c>
      <c r="K61" s="512" t="s">
        <v>125</v>
      </c>
      <c r="L61" s="523" t="str">
        <f t="shared" si="6"/>
        <v/>
      </c>
      <c r="M61" s="523" t="str">
        <f t="shared" si="6"/>
        <v/>
      </c>
      <c r="N61" s="515"/>
      <c r="O61" s="90">
        <v>4</v>
      </c>
      <c r="P61" s="522" t="s">
        <v>159</v>
      </c>
      <c r="Q61" s="35">
        <f>IF(OR(ISNUMBER(L50),ISNUMBER(L51),ISNUMBER(L52),ISNUMBER(L53)),SUM(L50:L53),"")</f>
        <v>46209.663439999989</v>
      </c>
      <c r="R61" s="35">
        <f>IF(OR(ISNUMBER(M49),ISNUMBER(M50),ISNUMBER(M52),ISNUMBER(M53)),SUM(M49:M53),"")</f>
        <v>68359.92</v>
      </c>
    </row>
    <row r="62" spans="1:18" ht="25.5">
      <c r="A62" s="1008"/>
      <c r="B62" s="880"/>
      <c r="C62" s="513" t="s">
        <v>721</v>
      </c>
      <c r="D62" s="512" t="s">
        <v>722</v>
      </c>
      <c r="E62" s="474">
        <v>7561.7956800000002</v>
      </c>
      <c r="F62" s="36">
        <v>5296.96</v>
      </c>
      <c r="H62" s="873"/>
      <c r="I62" s="879"/>
      <c r="J62" s="513" t="s">
        <v>60</v>
      </c>
      <c r="K62" s="521" t="s">
        <v>163</v>
      </c>
      <c r="L62" s="514">
        <f t="shared" si="6"/>
        <v>636.60990000000004</v>
      </c>
      <c r="M62" s="514">
        <f t="shared" si="6"/>
        <v>224.90539999999999</v>
      </c>
      <c r="N62" s="515"/>
      <c r="O62" s="90">
        <v>5</v>
      </c>
      <c r="P62" s="524" t="s">
        <v>399</v>
      </c>
      <c r="Q62" s="35">
        <f>L64</f>
        <v>1683.385</v>
      </c>
      <c r="R62" s="35">
        <f>M64</f>
        <v>1285.3754999999999</v>
      </c>
    </row>
    <row r="63" spans="1:18">
      <c r="A63" s="872" t="s">
        <v>50</v>
      </c>
      <c r="B63" s="878" t="s">
        <v>723</v>
      </c>
      <c r="C63" s="513" t="s">
        <v>51</v>
      </c>
      <c r="D63" s="512" t="s">
        <v>724</v>
      </c>
      <c r="E63" s="474">
        <v>6031.8600000000006</v>
      </c>
      <c r="F63" s="36">
        <v>7200.92</v>
      </c>
      <c r="H63" s="874"/>
      <c r="I63" s="880"/>
      <c r="J63" s="513" t="s">
        <v>61</v>
      </c>
      <c r="K63" s="512" t="s">
        <v>126</v>
      </c>
      <c r="L63" s="514">
        <f t="shared" si="6"/>
        <v>2.867</v>
      </c>
      <c r="M63" s="514">
        <f t="shared" si="6"/>
        <v>6.5000000000000002E-2</v>
      </c>
      <c r="N63" s="515"/>
      <c r="O63" s="90">
        <v>6</v>
      </c>
      <c r="P63" s="91" t="s">
        <v>462</v>
      </c>
      <c r="Q63" s="35">
        <f t="shared" ref="Q63:R63" si="9">L65</f>
        <v>1377.2579999999998</v>
      </c>
      <c r="R63" s="35">
        <f t="shared" si="9"/>
        <v>5376.3610000000008</v>
      </c>
    </row>
    <row r="64" spans="1:18">
      <c r="A64" s="873"/>
      <c r="B64" s="879"/>
      <c r="C64" s="513" t="s">
        <v>115</v>
      </c>
      <c r="D64" s="512" t="s">
        <v>725</v>
      </c>
      <c r="E64" s="474">
        <v>36948.535439999992</v>
      </c>
      <c r="F64" s="36">
        <v>43229.336000000003</v>
      </c>
      <c r="H64" s="872" t="s">
        <v>62</v>
      </c>
      <c r="I64" s="878" t="s">
        <v>164</v>
      </c>
      <c r="J64" s="513" t="s">
        <v>63</v>
      </c>
      <c r="K64" s="512" t="s">
        <v>165</v>
      </c>
      <c r="L64" s="514">
        <f t="shared" si="6"/>
        <v>1683.385</v>
      </c>
      <c r="M64" s="514">
        <f t="shared" si="6"/>
        <v>1285.3754999999999</v>
      </c>
      <c r="O64" s="90">
        <v>7</v>
      </c>
      <c r="P64" s="91" t="s">
        <v>463</v>
      </c>
      <c r="Q64" s="35">
        <f>IF(OR(ISNUMBER(L66),ISNUMBER(L69)),SUM(L66,L69),"")</f>
        <v>21.21</v>
      </c>
      <c r="R64" s="35">
        <f>IF(OR(ISNUMBER(M66),ISNUMBER(M69)),SUM(M66,M69),"")</f>
        <v>142.16200000000001</v>
      </c>
    </row>
    <row r="65" spans="1:18">
      <c r="A65" s="873"/>
      <c r="B65" s="879"/>
      <c r="C65" s="513" t="s">
        <v>621</v>
      </c>
      <c r="D65" s="512" t="s">
        <v>726</v>
      </c>
      <c r="E65" s="474">
        <v>127300.94900000001</v>
      </c>
      <c r="F65" s="36">
        <v>152824.08299999998</v>
      </c>
      <c r="H65" s="873"/>
      <c r="I65" s="879"/>
      <c r="J65" s="513" t="s">
        <v>64</v>
      </c>
      <c r="K65" s="512" t="s">
        <v>127</v>
      </c>
      <c r="L65" s="514">
        <f t="shared" si="6"/>
        <v>1377.2579999999998</v>
      </c>
      <c r="M65" s="514">
        <f t="shared" si="6"/>
        <v>5376.3610000000008</v>
      </c>
      <c r="O65" s="90">
        <v>8</v>
      </c>
      <c r="P65" s="522" t="s">
        <v>133</v>
      </c>
      <c r="Q65" s="35">
        <f>L78</f>
        <v>20275.556059999999</v>
      </c>
      <c r="R65" s="35">
        <f>M78</f>
        <v>17989.6191</v>
      </c>
    </row>
    <row r="66" spans="1:18">
      <c r="A66" s="873"/>
      <c r="B66" s="879"/>
      <c r="C66" s="513" t="s">
        <v>52</v>
      </c>
      <c r="D66" s="512" t="s">
        <v>727</v>
      </c>
      <c r="E66" s="474" t="e">
        <v>#N/A</v>
      </c>
      <c r="F66" s="36">
        <v>16.3</v>
      </c>
      <c r="H66" s="873"/>
      <c r="I66" s="879"/>
      <c r="J66" s="513" t="s">
        <v>65</v>
      </c>
      <c r="K66" s="512" t="s">
        <v>166</v>
      </c>
      <c r="L66" s="514">
        <f t="shared" si="6"/>
        <v>6.7</v>
      </c>
      <c r="M66" s="514">
        <f t="shared" si="6"/>
        <v>63.002000000000002</v>
      </c>
    </row>
    <row r="67" spans="1:18">
      <c r="A67" s="873"/>
      <c r="B67" s="879"/>
      <c r="C67" s="513" t="s">
        <v>118</v>
      </c>
      <c r="D67" s="512" t="s">
        <v>117</v>
      </c>
      <c r="E67" s="474" t="e">
        <v>#N/A</v>
      </c>
      <c r="F67" s="36" t="e">
        <v>#N/A</v>
      </c>
      <c r="H67" s="873"/>
      <c r="I67" s="879"/>
      <c r="J67" s="513" t="s">
        <v>66</v>
      </c>
      <c r="K67" s="512" t="s">
        <v>173</v>
      </c>
      <c r="L67" s="514">
        <f t="shared" si="6"/>
        <v>39.54</v>
      </c>
      <c r="M67" s="514">
        <f t="shared" si="6"/>
        <v>81.465000000000003</v>
      </c>
    </row>
    <row r="68" spans="1:18">
      <c r="A68" s="873"/>
      <c r="B68" s="879"/>
      <c r="C68" s="513" t="s">
        <v>539</v>
      </c>
      <c r="D68" s="512" t="s">
        <v>728</v>
      </c>
      <c r="E68" s="474">
        <v>3229.2680000000005</v>
      </c>
      <c r="F68" s="36">
        <v>17852.084999999999</v>
      </c>
      <c r="H68" s="873"/>
      <c r="I68" s="879"/>
      <c r="J68" s="513" t="s">
        <v>67</v>
      </c>
      <c r="K68" s="512" t="s">
        <v>174</v>
      </c>
      <c r="L68" s="514">
        <f t="shared" si="6"/>
        <v>218.8</v>
      </c>
      <c r="M68" s="514">
        <f t="shared" si="6"/>
        <v>315.47199999999998</v>
      </c>
    </row>
    <row r="69" spans="1:18">
      <c r="A69" s="1008"/>
      <c r="B69" s="880"/>
      <c r="C69" s="513" t="s">
        <v>729</v>
      </c>
      <c r="D69" s="512" t="s">
        <v>730</v>
      </c>
      <c r="E69" s="474">
        <v>106558.59559</v>
      </c>
      <c r="F69" s="36">
        <v>96100.678820000001</v>
      </c>
      <c r="H69" s="873"/>
      <c r="I69" s="879"/>
      <c r="J69" s="513" t="s">
        <v>68</v>
      </c>
      <c r="K69" s="512" t="s">
        <v>175</v>
      </c>
      <c r="L69" s="514">
        <f t="shared" si="6"/>
        <v>14.510000000000002</v>
      </c>
      <c r="M69" s="514">
        <f t="shared" si="6"/>
        <v>79.16</v>
      </c>
    </row>
    <row r="70" spans="1:18">
      <c r="A70" s="872" t="s">
        <v>53</v>
      </c>
      <c r="B70" s="878" t="s">
        <v>731</v>
      </c>
      <c r="C70" s="513" t="s">
        <v>55</v>
      </c>
      <c r="D70" s="512" t="s">
        <v>732</v>
      </c>
      <c r="E70" s="474">
        <v>0.14499999999999999</v>
      </c>
      <c r="F70" s="36">
        <v>20.7225</v>
      </c>
      <c r="H70" s="873"/>
      <c r="I70" s="879"/>
      <c r="J70" s="513" t="s">
        <v>128</v>
      </c>
      <c r="K70" s="512" t="s">
        <v>167</v>
      </c>
      <c r="L70" s="523">
        <f t="shared" si="6"/>
        <v>8494.2522600000011</v>
      </c>
      <c r="M70" s="523">
        <f t="shared" si="6"/>
        <v>6042.813000000001</v>
      </c>
    </row>
    <row r="71" spans="1:18">
      <c r="A71" s="873"/>
      <c r="B71" s="879"/>
      <c r="C71" s="513" t="s">
        <v>733</v>
      </c>
      <c r="D71" s="512" t="s">
        <v>734</v>
      </c>
      <c r="E71" s="474" t="e">
        <v>#N/A</v>
      </c>
      <c r="F71" s="36">
        <v>2.9750000000000001</v>
      </c>
      <c r="H71" s="873"/>
      <c r="I71" s="879"/>
      <c r="J71" s="513" t="s">
        <v>69</v>
      </c>
      <c r="K71" s="512" t="s">
        <v>129</v>
      </c>
      <c r="L71" s="523" t="str">
        <f>IF(ISNUMBER(E89),E89,"")</f>
        <v/>
      </c>
      <c r="M71" s="523">
        <f>IF(ISNUMBER(F89),F89,"")</f>
        <v>6.37</v>
      </c>
    </row>
    <row r="72" spans="1:18">
      <c r="A72" s="873"/>
      <c r="B72" s="879"/>
      <c r="C72" s="513" t="s">
        <v>551</v>
      </c>
      <c r="D72" s="512" t="s">
        <v>735</v>
      </c>
      <c r="E72" s="474">
        <v>1835.4280000000001</v>
      </c>
      <c r="F72" s="36">
        <v>1737.1224999999999</v>
      </c>
      <c r="H72" s="874"/>
      <c r="I72" s="880"/>
      <c r="J72" s="513" t="s">
        <v>70</v>
      </c>
      <c r="K72" s="512" t="s">
        <v>168</v>
      </c>
      <c r="L72" s="514" t="str">
        <f>IF(ISNUMBER(E90),E90,"")</f>
        <v/>
      </c>
      <c r="M72" s="514">
        <f>IF(ISNUMBER(F90),F90,"")</f>
        <v>8.129999999999999</v>
      </c>
    </row>
    <row r="73" spans="1:18">
      <c r="A73" s="873"/>
      <c r="B73" s="879"/>
      <c r="C73" s="513" t="s">
        <v>56</v>
      </c>
      <c r="D73" s="512" t="s">
        <v>736</v>
      </c>
      <c r="E73" s="474">
        <v>0.21299999999999999</v>
      </c>
      <c r="F73" s="36">
        <v>19.705660000000002</v>
      </c>
      <c r="H73" s="872" t="s">
        <v>71</v>
      </c>
      <c r="I73" s="878" t="s">
        <v>169</v>
      </c>
      <c r="J73" s="513" t="s">
        <v>72</v>
      </c>
      <c r="K73" s="512" t="s">
        <v>170</v>
      </c>
      <c r="L73" s="514" t="e">
        <f>IF(OR(ISNUMBER(E91),ISNUMBER(E93)),E91+E93,"")</f>
        <v>#N/A</v>
      </c>
      <c r="M73" s="514">
        <f>IF(OR(ISNUMBER(F91),ISNUMBER(F93)),F91+F93,"")</f>
        <v>1375.7783600000002</v>
      </c>
    </row>
    <row r="74" spans="1:18">
      <c r="A74" s="873"/>
      <c r="B74" s="879"/>
      <c r="C74" s="513" t="s">
        <v>57</v>
      </c>
      <c r="D74" s="512" t="s">
        <v>737</v>
      </c>
      <c r="E74" s="474" t="e">
        <v>#N/A</v>
      </c>
      <c r="F74" s="36">
        <v>1.698</v>
      </c>
      <c r="H74" s="873"/>
      <c r="I74" s="879"/>
      <c r="J74" s="513" t="s">
        <v>73</v>
      </c>
      <c r="K74" s="512" t="s">
        <v>130</v>
      </c>
      <c r="L74" s="514" t="str">
        <f>IF(ISNUMBER(E92),E92,"")</f>
        <v/>
      </c>
      <c r="M74" s="514">
        <f>IF(ISNUMBER(F92),F92,"")</f>
        <v>13.071</v>
      </c>
    </row>
    <row r="75" spans="1:18">
      <c r="A75" s="873"/>
      <c r="B75" s="879"/>
      <c r="C75" s="511" t="s">
        <v>120</v>
      </c>
      <c r="D75" s="512" t="s">
        <v>738</v>
      </c>
      <c r="E75" s="474" t="e">
        <v>#N/A</v>
      </c>
      <c r="F75" s="36">
        <v>0.20499999999999999</v>
      </c>
      <c r="H75" s="874"/>
      <c r="I75" s="880"/>
      <c r="J75" s="513" t="s">
        <v>74</v>
      </c>
      <c r="K75" s="512" t="s">
        <v>131</v>
      </c>
      <c r="L75" s="514" t="str">
        <f t="shared" ref="L75:M78" si="10">IF(ISNUMBER(E94),E94,"")</f>
        <v/>
      </c>
      <c r="M75" s="514">
        <f t="shared" si="10"/>
        <v>11.022</v>
      </c>
    </row>
    <row r="76" spans="1:18">
      <c r="A76" s="873"/>
      <c r="B76" s="879"/>
      <c r="C76" s="511" t="s">
        <v>122</v>
      </c>
      <c r="D76" s="512" t="s">
        <v>739</v>
      </c>
      <c r="E76" s="474" t="e">
        <v>#N/A</v>
      </c>
      <c r="F76" s="36" t="e">
        <v>#N/A</v>
      </c>
      <c r="H76" s="872" t="s">
        <v>75</v>
      </c>
      <c r="I76" s="878" t="s">
        <v>76</v>
      </c>
      <c r="J76" s="513" t="s">
        <v>77</v>
      </c>
      <c r="K76" s="521" t="s">
        <v>171</v>
      </c>
      <c r="L76" s="514">
        <f t="shared" si="10"/>
        <v>182.98432</v>
      </c>
      <c r="M76" s="514">
        <f t="shared" si="10"/>
        <v>119.33240000000001</v>
      </c>
    </row>
    <row r="77" spans="1:18">
      <c r="A77" s="873"/>
      <c r="B77" s="879"/>
      <c r="C77" s="513" t="s">
        <v>124</v>
      </c>
      <c r="D77" s="512" t="s">
        <v>740</v>
      </c>
      <c r="E77" s="474" t="e">
        <v>#N/A</v>
      </c>
      <c r="F77" s="36">
        <v>26.085000000000001</v>
      </c>
      <c r="H77" s="873"/>
      <c r="I77" s="879"/>
      <c r="J77" s="513" t="s">
        <v>78</v>
      </c>
      <c r="K77" s="512" t="s">
        <v>132</v>
      </c>
      <c r="L77" s="514">
        <f t="shared" si="10"/>
        <v>11.335000000000001</v>
      </c>
      <c r="M77" s="514">
        <f t="shared" si="10"/>
        <v>24.273999999999997</v>
      </c>
    </row>
    <row r="78" spans="1:18">
      <c r="A78" s="873"/>
      <c r="B78" s="879"/>
      <c r="C78" s="513" t="s">
        <v>58</v>
      </c>
      <c r="D78" s="512" t="s">
        <v>136</v>
      </c>
      <c r="E78" s="474">
        <v>1.22</v>
      </c>
      <c r="F78" s="36">
        <v>7.5670000000000002</v>
      </c>
      <c r="H78" s="873"/>
      <c r="I78" s="879"/>
      <c r="J78" s="513" t="s">
        <v>134</v>
      </c>
      <c r="K78" s="512" t="s">
        <v>133</v>
      </c>
      <c r="L78" s="523">
        <f t="shared" si="10"/>
        <v>20275.556059999999</v>
      </c>
      <c r="M78" s="523">
        <f t="shared" si="10"/>
        <v>17989.6191</v>
      </c>
    </row>
    <row r="79" spans="1:18">
      <c r="A79" s="873"/>
      <c r="B79" s="879"/>
      <c r="C79" s="511" t="s">
        <v>59</v>
      </c>
      <c r="D79" s="512" t="s">
        <v>741</v>
      </c>
      <c r="E79" s="474" t="e">
        <v>#N/A</v>
      </c>
      <c r="F79" s="36" t="e">
        <v>#N/A</v>
      </c>
      <c r="H79" s="874"/>
      <c r="I79" s="880"/>
      <c r="J79" s="513" t="s">
        <v>172</v>
      </c>
      <c r="K79" s="512" t="s">
        <v>135</v>
      </c>
      <c r="L79" s="514" t="e">
        <f>IF(OR(ISNUMBER(E42),ISNUMBER(E43)),E42+E43,"")</f>
        <v>#N/A</v>
      </c>
      <c r="M79" s="514" t="e">
        <f>IF(OR(ISNUMBER(F42),ISNUMBER(F43)),F42+F43,"")</f>
        <v>#N/A</v>
      </c>
    </row>
    <row r="80" spans="1:18" s="117" customFormat="1">
      <c r="A80" s="873"/>
      <c r="B80" s="879"/>
      <c r="C80" s="513" t="s">
        <v>60</v>
      </c>
      <c r="D80" s="512" t="s">
        <v>742</v>
      </c>
      <c r="E80" s="474">
        <v>636.60990000000004</v>
      </c>
      <c r="F80" s="36">
        <v>224.90539999999999</v>
      </c>
      <c r="H80" s="111"/>
      <c r="I80" s="112"/>
      <c r="J80" s="112"/>
      <c r="K80" s="112"/>
      <c r="L80" s="525"/>
      <c r="M80" s="525"/>
      <c r="O80" s="112"/>
      <c r="P80" s="112"/>
    </row>
    <row r="81" spans="1:16" s="117" customFormat="1">
      <c r="A81" s="1008"/>
      <c r="B81" s="880"/>
      <c r="C81" s="513" t="s">
        <v>61</v>
      </c>
      <c r="D81" s="512" t="s">
        <v>743</v>
      </c>
      <c r="E81" s="474">
        <v>2.867</v>
      </c>
      <c r="F81" s="36">
        <v>6.5000000000000002E-2</v>
      </c>
      <c r="H81" s="111"/>
      <c r="I81" s="112"/>
      <c r="J81" s="112"/>
      <c r="K81" s="112"/>
      <c r="L81" s="525"/>
      <c r="M81" s="525"/>
    </row>
    <row r="82" spans="1:16" s="117" customFormat="1">
      <c r="A82" s="872" t="s">
        <v>62</v>
      </c>
      <c r="B82" s="878" t="s">
        <v>744</v>
      </c>
      <c r="C82" s="513" t="s">
        <v>63</v>
      </c>
      <c r="D82" s="512" t="s">
        <v>745</v>
      </c>
      <c r="E82" s="474">
        <v>1683.385</v>
      </c>
      <c r="F82" s="36">
        <v>1285.3754999999999</v>
      </c>
      <c r="H82" s="111"/>
      <c r="I82" s="112"/>
      <c r="J82" s="112"/>
      <c r="K82" s="112"/>
      <c r="L82" s="525"/>
      <c r="M82" s="525"/>
    </row>
    <row r="83" spans="1:16" s="117" customFormat="1">
      <c r="A83" s="873"/>
      <c r="B83" s="879"/>
      <c r="C83" s="513" t="s">
        <v>64</v>
      </c>
      <c r="D83" s="512" t="s">
        <v>127</v>
      </c>
      <c r="E83" s="474">
        <v>1377.2579999999998</v>
      </c>
      <c r="F83" s="36">
        <v>5376.3610000000008</v>
      </c>
      <c r="H83" s="111"/>
      <c r="I83" s="112"/>
      <c r="J83" s="112"/>
      <c r="K83" s="112"/>
      <c r="L83" s="525"/>
      <c r="M83" s="525"/>
    </row>
    <row r="84" spans="1:16" s="117" customFormat="1">
      <c r="A84" s="873"/>
      <c r="B84" s="879"/>
      <c r="C84" s="511" t="s">
        <v>65</v>
      </c>
      <c r="D84" s="512" t="s">
        <v>746</v>
      </c>
      <c r="E84" s="474">
        <v>6.7</v>
      </c>
      <c r="F84" s="36">
        <v>63.002000000000002</v>
      </c>
      <c r="H84" s="111"/>
      <c r="I84" s="112"/>
      <c r="J84" s="112"/>
      <c r="K84" s="112"/>
      <c r="L84" s="525"/>
      <c r="M84" s="525"/>
    </row>
    <row r="85" spans="1:16" s="117" customFormat="1">
      <c r="A85" s="873"/>
      <c r="B85" s="879"/>
      <c r="C85" s="513" t="s">
        <v>66</v>
      </c>
      <c r="D85" s="512" t="s">
        <v>639</v>
      </c>
      <c r="E85" s="474">
        <v>39.54</v>
      </c>
      <c r="F85" s="36">
        <v>81.465000000000003</v>
      </c>
      <c r="H85" s="111"/>
      <c r="M85" s="525"/>
    </row>
    <row r="86" spans="1:16" s="117" customFormat="1">
      <c r="A86" s="873"/>
      <c r="B86" s="879"/>
      <c r="C86" s="513" t="s">
        <v>67</v>
      </c>
      <c r="D86" s="512" t="s">
        <v>747</v>
      </c>
      <c r="E86" s="474">
        <v>218.8</v>
      </c>
      <c r="F86" s="36">
        <v>315.47199999999998</v>
      </c>
      <c r="H86" s="111"/>
      <c r="I86" s="112"/>
      <c r="J86" s="112"/>
      <c r="K86" s="112"/>
      <c r="L86" s="525"/>
      <c r="M86" s="525"/>
    </row>
    <row r="87" spans="1:16" s="117" customFormat="1">
      <c r="A87" s="873"/>
      <c r="B87" s="879"/>
      <c r="C87" s="513" t="s">
        <v>68</v>
      </c>
      <c r="D87" s="512" t="s">
        <v>748</v>
      </c>
      <c r="E87" s="474">
        <v>14.510000000000002</v>
      </c>
      <c r="F87" s="36">
        <v>79.16</v>
      </c>
      <c r="H87" s="111"/>
      <c r="I87" s="112"/>
      <c r="J87" s="112"/>
      <c r="K87" s="112"/>
      <c r="L87" s="525"/>
      <c r="M87" s="525"/>
    </row>
    <row r="88" spans="1:16" s="117" customFormat="1">
      <c r="A88" s="873"/>
      <c r="B88" s="879"/>
      <c r="C88" s="511" t="s">
        <v>128</v>
      </c>
      <c r="D88" s="512" t="s">
        <v>749</v>
      </c>
      <c r="E88" s="474">
        <v>8494.2522600000011</v>
      </c>
      <c r="F88" s="36">
        <v>6042.813000000001</v>
      </c>
      <c r="H88" s="111"/>
      <c r="I88" s="112"/>
      <c r="J88" s="112"/>
      <c r="K88" s="112"/>
      <c r="L88" s="525"/>
      <c r="M88" s="525"/>
    </row>
    <row r="89" spans="1:16" s="117" customFormat="1">
      <c r="A89" s="873"/>
      <c r="B89" s="879"/>
      <c r="C89" s="513" t="s">
        <v>69</v>
      </c>
      <c r="D89" s="512" t="s">
        <v>129</v>
      </c>
      <c r="E89" s="474" t="e">
        <v>#N/A</v>
      </c>
      <c r="F89" s="36">
        <v>6.37</v>
      </c>
      <c r="H89" s="111"/>
      <c r="I89" s="112"/>
      <c r="J89" s="112"/>
      <c r="K89" s="112"/>
      <c r="L89" s="525"/>
      <c r="M89" s="525"/>
    </row>
    <row r="90" spans="1:16" s="117" customFormat="1">
      <c r="A90" s="1008"/>
      <c r="B90" s="880"/>
      <c r="C90" s="511" t="s">
        <v>70</v>
      </c>
      <c r="D90" s="512" t="s">
        <v>750</v>
      </c>
      <c r="E90" s="474" t="e">
        <v>#N/A</v>
      </c>
      <c r="F90" s="36">
        <v>8.129999999999999</v>
      </c>
      <c r="H90" s="111"/>
      <c r="I90" s="112"/>
      <c r="J90" s="112"/>
      <c r="K90" s="112"/>
      <c r="L90" s="525"/>
      <c r="M90" s="525"/>
    </row>
    <row r="91" spans="1:16">
      <c r="A91" s="872" t="s">
        <v>71</v>
      </c>
      <c r="B91" s="878" t="s">
        <v>170</v>
      </c>
      <c r="C91" s="513" t="s">
        <v>72</v>
      </c>
      <c r="D91" s="512" t="s">
        <v>170</v>
      </c>
      <c r="E91" s="474">
        <v>1437.4605800000002</v>
      </c>
      <c r="F91" s="36">
        <v>1365.2603600000002</v>
      </c>
      <c r="O91" s="117"/>
      <c r="P91" s="117"/>
    </row>
    <row r="92" spans="1:16">
      <c r="A92" s="873"/>
      <c r="B92" s="879"/>
      <c r="C92" s="513" t="s">
        <v>73</v>
      </c>
      <c r="D92" s="512" t="s">
        <v>130</v>
      </c>
      <c r="E92" s="474" t="e">
        <v>#N/A</v>
      </c>
      <c r="F92" s="36">
        <v>13.071</v>
      </c>
    </row>
    <row r="93" spans="1:16">
      <c r="A93" s="873"/>
      <c r="B93" s="879"/>
      <c r="C93" s="513" t="s">
        <v>593</v>
      </c>
      <c r="D93" s="512" t="s">
        <v>751</v>
      </c>
      <c r="E93" s="474" t="e">
        <v>#N/A</v>
      </c>
      <c r="F93" s="36">
        <v>10.517999999999999</v>
      </c>
    </row>
    <row r="94" spans="1:16">
      <c r="A94" s="1008"/>
      <c r="B94" s="880"/>
      <c r="C94" s="513" t="s">
        <v>74</v>
      </c>
      <c r="D94" s="512" t="s">
        <v>752</v>
      </c>
      <c r="E94" s="474" t="e">
        <v>#N/A</v>
      </c>
      <c r="F94" s="36">
        <v>11.022</v>
      </c>
    </row>
    <row r="95" spans="1:16">
      <c r="A95" s="872" t="s">
        <v>75</v>
      </c>
      <c r="B95" s="1012" t="s">
        <v>76</v>
      </c>
      <c r="C95" s="511" t="s">
        <v>77</v>
      </c>
      <c r="D95" s="512" t="s">
        <v>753</v>
      </c>
      <c r="E95" s="474">
        <v>182.98432</v>
      </c>
      <c r="F95" s="36">
        <v>119.33240000000001</v>
      </c>
    </row>
    <row r="96" spans="1:16">
      <c r="A96" s="873"/>
      <c r="B96" s="1013"/>
      <c r="C96" s="511" t="s">
        <v>78</v>
      </c>
      <c r="D96" s="512" t="s">
        <v>754</v>
      </c>
      <c r="E96" s="474">
        <v>11.335000000000001</v>
      </c>
      <c r="F96" s="36">
        <v>24.273999999999997</v>
      </c>
    </row>
    <row r="97" spans="1:14">
      <c r="A97" s="1008"/>
      <c r="B97" s="1014"/>
      <c r="C97" s="511" t="s">
        <v>134</v>
      </c>
      <c r="D97" s="512" t="s">
        <v>424</v>
      </c>
      <c r="E97" s="474">
        <v>20275.556059999999</v>
      </c>
      <c r="F97" s="36">
        <v>17989.6191</v>
      </c>
    </row>
    <row r="98" spans="1:14" s="69" customFormat="1" ht="18.75" customHeight="1">
      <c r="D98" s="109"/>
      <c r="E98" s="110" t="s">
        <v>867</v>
      </c>
      <c r="F98" s="109"/>
      <c r="G98" s="111"/>
      <c r="H98" s="112"/>
      <c r="M98" s="106"/>
      <c r="N98" s="107"/>
    </row>
    <row r="101" spans="1:14" ht="18.75">
      <c r="B101" s="1005" t="s">
        <v>840</v>
      </c>
      <c r="C101" s="1006"/>
      <c r="D101" s="1007"/>
    </row>
    <row r="102" spans="1:14">
      <c r="B102" s="1002"/>
      <c r="C102" s="1003"/>
      <c r="D102" s="1004"/>
    </row>
    <row r="103" spans="1:14">
      <c r="B103" s="1002"/>
      <c r="C103" s="1003"/>
      <c r="D103" s="1004"/>
    </row>
    <row r="104" spans="1:14">
      <c r="B104" s="1002"/>
      <c r="C104" s="1003"/>
      <c r="D104" s="1004"/>
    </row>
    <row r="105" spans="1:14">
      <c r="B105" s="1002"/>
      <c r="C105" s="1003"/>
      <c r="D105" s="1004"/>
    </row>
    <row r="106" spans="1:14">
      <c r="B106" s="1002"/>
      <c r="C106" s="1003"/>
      <c r="D106" s="1004"/>
    </row>
    <row r="107" spans="1:14">
      <c r="B107" s="1002"/>
      <c r="C107" s="1003"/>
      <c r="D107" s="1004"/>
    </row>
    <row r="108" spans="1:14">
      <c r="B108" s="1002"/>
      <c r="C108" s="1003"/>
      <c r="D108" s="1004"/>
    </row>
    <row r="109" spans="1:14">
      <c r="B109" s="1002"/>
      <c r="C109" s="1003"/>
      <c r="D109" s="1004"/>
    </row>
    <row r="110" spans="1:14">
      <c r="B110" s="1002"/>
      <c r="C110" s="1003"/>
      <c r="D110" s="1004"/>
    </row>
    <row r="111" spans="1:14">
      <c r="B111" s="999"/>
      <c r="C111" s="1000"/>
      <c r="D111" s="1001"/>
    </row>
    <row r="147" spans="7:7">
      <c r="G147" s="522" t="s">
        <v>755</v>
      </c>
    </row>
    <row r="148" spans="7:7">
      <c r="G148" s="522" t="s">
        <v>755</v>
      </c>
    </row>
    <row r="149" spans="7:7">
      <c r="G149" s="522" t="s">
        <v>755</v>
      </c>
    </row>
    <row r="157" spans="7:7">
      <c r="G157" s="522" t="s">
        <v>755</v>
      </c>
    </row>
    <row r="158" spans="7:7">
      <c r="G158" s="522" t="s">
        <v>755</v>
      </c>
    </row>
    <row r="159" spans="7:7">
      <c r="G159" s="522" t="s">
        <v>755</v>
      </c>
    </row>
    <row r="160" spans="7:7">
      <c r="G160" s="522" t="s">
        <v>756</v>
      </c>
    </row>
    <row r="161" spans="7:7">
      <c r="G161" s="522" t="s">
        <v>756</v>
      </c>
    </row>
    <row r="162" spans="7:7">
      <c r="G162" s="522" t="s">
        <v>756</v>
      </c>
    </row>
    <row r="163" spans="7:7">
      <c r="G163" s="522" t="s">
        <v>756</v>
      </c>
    </row>
    <row r="164" spans="7:7">
      <c r="G164" s="522" t="s">
        <v>756</v>
      </c>
    </row>
  </sheetData>
  <mergeCells count="58">
    <mergeCell ref="I73:I75"/>
    <mergeCell ref="I76:I79"/>
    <mergeCell ref="A91:A94"/>
    <mergeCell ref="B91:B94"/>
    <mergeCell ref="A95:A97"/>
    <mergeCell ref="B95:B97"/>
    <mergeCell ref="B70:B81"/>
    <mergeCell ref="A82:A90"/>
    <mergeCell ref="B82:B90"/>
    <mergeCell ref="H76:H79"/>
    <mergeCell ref="H73:H75"/>
    <mergeCell ref="H64:H72"/>
    <mergeCell ref="E6:F6"/>
    <mergeCell ref="L6:M6"/>
    <mergeCell ref="Q6:R6"/>
    <mergeCell ref="A13:A40"/>
    <mergeCell ref="B13:B40"/>
    <mergeCell ref="I13:I36"/>
    <mergeCell ref="I38:I39"/>
    <mergeCell ref="I40:I43"/>
    <mergeCell ref="A41:A43"/>
    <mergeCell ref="B41:B43"/>
    <mergeCell ref="H38:H39"/>
    <mergeCell ref="H13:H36"/>
    <mergeCell ref="H8:H10"/>
    <mergeCell ref="I8:I10"/>
    <mergeCell ref="A44:A47"/>
    <mergeCell ref="B44:B47"/>
    <mergeCell ref="I44:I46"/>
    <mergeCell ref="I47:I49"/>
    <mergeCell ref="A48:A52"/>
    <mergeCell ref="B48:B52"/>
    <mergeCell ref="I50:I53"/>
    <mergeCell ref="A53:A56"/>
    <mergeCell ref="B53:B56"/>
    <mergeCell ref="I54:I63"/>
    <mergeCell ref="A57:A62"/>
    <mergeCell ref="B57:B62"/>
    <mergeCell ref="A63:A69"/>
    <mergeCell ref="B63:B69"/>
    <mergeCell ref="I64:I72"/>
    <mergeCell ref="A70:A81"/>
    <mergeCell ref="H54:H63"/>
    <mergeCell ref="H50:H53"/>
    <mergeCell ref="H47:H49"/>
    <mergeCell ref="H44:H46"/>
    <mergeCell ref="H40:H43"/>
    <mergeCell ref="B101:D101"/>
    <mergeCell ref="B102:D102"/>
    <mergeCell ref="B103:D103"/>
    <mergeCell ref="B104:D104"/>
    <mergeCell ref="B105:D105"/>
    <mergeCell ref="B111:D111"/>
    <mergeCell ref="B106:D106"/>
    <mergeCell ref="B107:D107"/>
    <mergeCell ref="B108:D108"/>
    <mergeCell ref="B109:D109"/>
    <mergeCell ref="B110:D110"/>
  </mergeCells>
  <conditionalFormatting sqref="E8:F97">
    <cfRule type="expression" dxfId="53" priority="2">
      <formula>ISNUMBER(E8)</formula>
    </cfRule>
  </conditionalFormatting>
  <conditionalFormatting sqref="E3">
    <cfRule type="expression" dxfId="52" priority="1">
      <formula>ISTEXT(E3)</formula>
    </cfRule>
  </conditionalFormatting>
  <dataValidations count="1">
    <dataValidation type="list" allowBlank="1" showInputMessage="1" showErrorMessage="1" sqref="E3">
      <formula1>"Yes, No"</formula1>
    </dataValidation>
  </dataValidations>
  <hyperlinks>
    <hyperlink ref="B4" location="Instructions_to_users" display="Instructions to users (hyperlink)"/>
  </hyperlinks>
  <pageMargins left="0.25" right="0.25" top="0.75" bottom="0.75" header="0.3" footer="0.3"/>
  <pageSetup paperSize="9" scale="80" fitToWidth="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Intro</vt:lpstr>
      <vt:lpstr>ACT</vt:lpstr>
      <vt:lpstr>NSW</vt:lpstr>
      <vt:lpstr>NT</vt:lpstr>
      <vt:lpstr>Qld</vt:lpstr>
      <vt:lpstr>SA</vt:lpstr>
      <vt:lpstr>TAS</vt:lpstr>
      <vt:lpstr>Vic</vt:lpstr>
      <vt:lpstr>WA</vt:lpstr>
      <vt:lpstr>Validation</vt:lpstr>
      <vt:lpstr>Gap data</vt:lpstr>
      <vt:lpstr>Adjusted jurisdiction data</vt:lpstr>
      <vt:lpstr>National generation</vt:lpstr>
      <vt:lpstr>Imp Exp</vt:lpstr>
      <vt:lpstr>Approved</vt:lpstr>
      <vt:lpstr>Biosolids</vt:lpstr>
      <vt:lpstr>Hhold_waste</vt:lpstr>
      <vt:lpstr>Instructions_to_users</vt:lpstr>
      <vt:lpstr>Multiple_count_factors</vt:lpstr>
      <vt:lpstr>Popn_data</vt:lpstr>
      <vt:lpstr>Tyres</vt:lpstr>
      <vt:lpstr>Weighted_avs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Bloomfield</dc:creator>
  <cp:lastModifiedBy>a01081</cp:lastModifiedBy>
  <cp:lastPrinted>2013-11-22T02:14:30Z</cp:lastPrinted>
  <dcterms:created xsi:type="dcterms:W3CDTF">2013-01-18T05:23:10Z</dcterms:created>
  <dcterms:modified xsi:type="dcterms:W3CDTF">2016-05-31T23:37:43Z</dcterms:modified>
</cp:coreProperties>
</file>